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sintef-my.sharepoint.com/personal/martha_pedersen_sintef_no/Documents/Documents/FlxEnabler/Update GENeSYS-MOD data/Source update/"/>
    </mc:Choice>
  </mc:AlternateContent>
  <xr:revisionPtr revIDLastSave="95" documentId="8_{901537C0-AE06-4721-8137-915540F373EB}" xr6:coauthVersionLast="47" xr6:coauthVersionMax="47" xr10:uidLastSave="{6F6E2F77-207D-4246-AEF0-548C9B47E0FE}"/>
  <bookViews>
    <workbookView xWindow="-108" yWindow="-108" windowWidth="23256" windowHeight="12576" tabRatio="934" activeTab="7" xr2:uid="{93D785A0-F98A-4478-9ED9-6796C74E8B2B}"/>
  </bookViews>
  <sheets>
    <sheet name="Coversheet" sheetId="11" r:id="rId1"/>
    <sheet name="Figure 1-2" sheetId="16" r:id="rId2"/>
    <sheet name="Figure 3" sheetId="22" r:id="rId3"/>
    <sheet name="Figure 4-5" sheetId="19" r:id="rId4"/>
    <sheet name="1 DH Consumption" sheetId="1" r:id="rId5"/>
    <sheet name="2 DH Share" sheetId="23" r:id="rId6"/>
    <sheet name="3 DC Consumption" sheetId="2" r:id="rId7"/>
    <sheet name="4 Technology mix" sheetId="7" r:id="rId8"/>
    <sheet name="5 Heat supply and fuel mix" sheetId="10" r:id="rId9"/>
    <sheet name="6 Trench length and size" sheetId="8" r:id="rId10"/>
    <sheet name="7 CHP Data " sheetId="20" r:id="rId11"/>
    <sheet name="8 Energy balances-Eurostat" sheetId="18" r:id="rId12"/>
    <sheet name="9 Sources" sheetId="12" r:id="rId13"/>
  </sheets>
  <externalReferences>
    <externalReference r:id="rId14"/>
  </externalReferences>
  <definedNames>
    <definedName name="_xlnm._FilterDatabase" localSheetId="1" hidden="1">'Figure 1-2'!$A$1:$O$1</definedName>
    <definedName name="_xlnm._FilterDatabase" localSheetId="3" hidden="1">'Figure 4-5'!$A$33:$D$33</definedName>
    <definedName name="UnitFactor">[1]Cover!$Q$121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10" l="1"/>
  <c r="C3" i="7"/>
  <c r="B4" i="10" l="1"/>
  <c r="B40" i="10"/>
  <c r="C4" i="10"/>
  <c r="D3" i="20" l="1"/>
  <c r="B17" i="10"/>
  <c r="C6" i="10" l="1"/>
  <c r="G9" i="22" l="1"/>
  <c r="C13" i="10"/>
  <c r="N13" i="10"/>
  <c r="C16" i="7"/>
  <c r="J5" i="8" l="1"/>
  <c r="J6" i="8"/>
  <c r="J7" i="8"/>
  <c r="J8" i="8"/>
  <c r="J9" i="8"/>
  <c r="J10" i="8"/>
  <c r="J11" i="8"/>
  <c r="J12" i="8"/>
  <c r="J13" i="8"/>
  <c r="J14" i="8"/>
  <c r="J16" i="8"/>
  <c r="J17" i="8"/>
  <c r="J18" i="8"/>
  <c r="J20" i="8"/>
  <c r="J21" i="8"/>
  <c r="J22" i="8"/>
  <c r="J23" i="8"/>
  <c r="J24" i="8"/>
  <c r="J25" i="8"/>
  <c r="J26" i="8"/>
  <c r="J27" i="8"/>
  <c r="J29" i="8"/>
  <c r="J30" i="8"/>
  <c r="J31" i="8"/>
  <c r="J32" i="8"/>
  <c r="J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 i="8"/>
  <c r="G3" i="22"/>
  <c r="P3" i="22" s="1"/>
  <c r="G4" i="22"/>
  <c r="P4" i="22" s="1"/>
  <c r="G5" i="22"/>
  <c r="P5" i="22" s="1"/>
  <c r="G6" i="22"/>
  <c r="P6" i="22" s="1"/>
  <c r="G7" i="22"/>
  <c r="P7" i="22" s="1"/>
  <c r="G8" i="22"/>
  <c r="P8" i="22" s="1"/>
  <c r="P9" i="22"/>
  <c r="G10" i="22"/>
  <c r="M10" i="22" s="1"/>
  <c r="G11" i="22"/>
  <c r="P11" i="22" s="1"/>
  <c r="G12" i="22"/>
  <c r="P12" i="22" s="1"/>
  <c r="G13" i="22"/>
  <c r="P13" i="22" s="1"/>
  <c r="G14" i="22"/>
  <c r="P14" i="22" s="1"/>
  <c r="G15" i="22"/>
  <c r="P15" i="22" s="1"/>
  <c r="G16" i="22"/>
  <c r="P16" i="22" s="1"/>
  <c r="G17" i="22"/>
  <c r="P17" i="22" s="1"/>
  <c r="G18" i="22"/>
  <c r="P18" i="22" s="1"/>
  <c r="G19" i="22"/>
  <c r="P19" i="22" s="1"/>
  <c r="G20" i="22"/>
  <c r="P20" i="22" s="1"/>
  <c r="G22" i="22"/>
  <c r="P22" i="22" s="1"/>
  <c r="G24" i="22"/>
  <c r="P24" i="22" s="1"/>
  <c r="G25" i="22"/>
  <c r="P25" i="22" s="1"/>
  <c r="G26" i="22"/>
  <c r="P26" i="22" s="1"/>
  <c r="G27" i="22"/>
  <c r="P27" i="22" s="1"/>
  <c r="G2" i="22"/>
  <c r="P2" i="22" s="1"/>
  <c r="O22" i="22" l="1"/>
  <c r="O17" i="22"/>
  <c r="M19" i="22"/>
  <c r="L10" i="22"/>
  <c r="K10" i="22"/>
  <c r="K9" i="22"/>
  <c r="L15" i="22"/>
  <c r="N8" i="22"/>
  <c r="K15" i="22"/>
  <c r="L8" i="22"/>
  <c r="N24" i="22"/>
  <c r="N14" i="22"/>
  <c r="O5" i="22"/>
  <c r="L24" i="22"/>
  <c r="M14" i="22"/>
  <c r="M5" i="22"/>
  <c r="K24" i="22"/>
  <c r="M13" i="22"/>
  <c r="L5" i="22"/>
  <c r="K3" i="22"/>
  <c r="O27" i="22"/>
  <c r="M17" i="22"/>
  <c r="M27" i="22"/>
  <c r="K22" i="22"/>
  <c r="L17" i="22"/>
  <c r="L14" i="22"/>
  <c r="M8" i="22"/>
  <c r="K19" i="22"/>
  <c r="N20" i="22"/>
  <c r="K27" i="22"/>
  <c r="M20" i="22"/>
  <c r="O16" i="22"/>
  <c r="K13" i="22"/>
  <c r="M7" i="22"/>
  <c r="L27" i="22"/>
  <c r="K17" i="22"/>
  <c r="O25" i="22"/>
  <c r="L20" i="22"/>
  <c r="N15" i="22"/>
  <c r="N10" i="22"/>
  <c r="K7" i="22"/>
  <c r="O3" i="22"/>
  <c r="N18" i="22"/>
  <c r="N12" i="22"/>
  <c r="O9" i="22"/>
  <c r="N6" i="22"/>
  <c r="K5" i="22"/>
  <c r="N25" i="22"/>
  <c r="N16" i="22"/>
  <c r="O6" i="22"/>
  <c r="P10" i="22"/>
  <c r="K2" i="22"/>
  <c r="N3" i="22"/>
  <c r="O26" i="22"/>
  <c r="L25" i="22"/>
  <c r="N22" i="22"/>
  <c r="K20" i="22"/>
  <c r="M18" i="22"/>
  <c r="L16" i="22"/>
  <c r="K14" i="22"/>
  <c r="M12" i="22"/>
  <c r="O11" i="22"/>
  <c r="N9" i="22"/>
  <c r="K8" i="22"/>
  <c r="M6" i="22"/>
  <c r="O4" i="22"/>
  <c r="M25" i="22"/>
  <c r="M16" i="22"/>
  <c r="O2" i="22"/>
  <c r="M3" i="22"/>
  <c r="N26" i="22"/>
  <c r="K25" i="22"/>
  <c r="M22" i="22"/>
  <c r="O19" i="22"/>
  <c r="L18" i="22"/>
  <c r="K16" i="22"/>
  <c r="O13" i="22"/>
  <c r="L12" i="22"/>
  <c r="N11" i="22"/>
  <c r="M9" i="22"/>
  <c r="O7" i="22"/>
  <c r="L6" i="22"/>
  <c r="N4" i="22"/>
  <c r="O18" i="22"/>
  <c r="O12" i="22"/>
  <c r="N2" i="22"/>
  <c r="L3" i="22"/>
  <c r="M26" i="22"/>
  <c r="O24" i="22"/>
  <c r="L22" i="22"/>
  <c r="N19" i="22"/>
  <c r="K18" i="22"/>
  <c r="O15" i="22"/>
  <c r="N13" i="22"/>
  <c r="K12" i="22"/>
  <c r="M11" i="22"/>
  <c r="O10" i="22"/>
  <c r="L9" i="22"/>
  <c r="N7" i="22"/>
  <c r="K6" i="22"/>
  <c r="M4" i="22"/>
  <c r="M2" i="22"/>
  <c r="L26" i="22"/>
  <c r="L11" i="22"/>
  <c r="L4" i="22"/>
  <c r="L2" i="22"/>
  <c r="N27" i="22"/>
  <c r="K26" i="22"/>
  <c r="M24" i="22"/>
  <c r="O20" i="22"/>
  <c r="L19" i="22"/>
  <c r="N17" i="22"/>
  <c r="M15" i="22"/>
  <c r="O14" i="22"/>
  <c r="L13" i="22"/>
  <c r="K11" i="22"/>
  <c r="O8" i="22"/>
  <c r="L7" i="22"/>
  <c r="N5" i="22"/>
  <c r="K4" i="22"/>
  <c r="D27" i="20"/>
  <c r="D26" i="20"/>
  <c r="D25" i="20"/>
  <c r="D24" i="20"/>
  <c r="D23" i="20"/>
  <c r="D22" i="20"/>
  <c r="D21" i="20"/>
  <c r="D20" i="20"/>
  <c r="D19" i="20"/>
  <c r="D18" i="20"/>
  <c r="D17" i="20"/>
  <c r="D16" i="20"/>
  <c r="D15" i="20"/>
  <c r="D14" i="20"/>
  <c r="D13" i="20"/>
  <c r="D12" i="20"/>
  <c r="D11" i="20"/>
  <c r="D10" i="20"/>
  <c r="D9" i="20"/>
  <c r="D8" i="20"/>
  <c r="D7" i="20"/>
  <c r="D6" i="20"/>
  <c r="D5" i="20"/>
  <c r="D4" i="20"/>
  <c r="C69" i="10"/>
  <c r="D37" i="20"/>
  <c r="C71" i="10" s="1"/>
  <c r="B36" i="20"/>
  <c r="D36" i="20" s="1"/>
  <c r="C70" i="10" s="1"/>
  <c r="D35" i="20"/>
  <c r="D29" i="20"/>
  <c r="C28" i="20"/>
  <c r="B28" i="20"/>
  <c r="H4" i="8"/>
  <c r="H3" i="8"/>
  <c r="D28" i="20" l="1"/>
  <c r="B69" i="10"/>
  <c r="B30" i="7" s="1"/>
  <c r="E19" i="16"/>
  <c r="H30" i="7" l="1"/>
  <c r="H28" i="16"/>
  <c r="J28" i="16"/>
  <c r="K28" i="16"/>
  <c r="L28" i="16"/>
  <c r="M28" i="16"/>
  <c r="H33" i="10" l="1"/>
  <c r="I28" i="16" s="1"/>
  <c r="F33" i="10"/>
  <c r="G28" i="16" s="1"/>
  <c r="E33" i="10"/>
  <c r="F28" i="16" s="1"/>
  <c r="D33" i="10"/>
  <c r="E28" i="16" s="1"/>
  <c r="B33" i="10"/>
  <c r="C33" i="10"/>
  <c r="B71" i="10" l="1"/>
  <c r="B32" i="7" s="1"/>
  <c r="B28" i="16"/>
  <c r="C28" i="16" s="1"/>
  <c r="K32" i="10"/>
  <c r="H32" i="10"/>
  <c r="B25" i="19" l="1"/>
  <c r="B8" i="19"/>
  <c r="B2" i="19"/>
  <c r="B21" i="19"/>
  <c r="B6" i="19"/>
  <c r="B10" i="19"/>
  <c r="B3" i="19"/>
  <c r="B26" i="19"/>
  <c r="B17" i="19"/>
  <c r="B13" i="19"/>
  <c r="B20" i="19"/>
  <c r="B15" i="19"/>
  <c r="B12" i="19"/>
  <c r="B5" i="19"/>
  <c r="B27" i="19"/>
  <c r="B9" i="19"/>
  <c r="B22" i="19"/>
  <c r="B23" i="19"/>
  <c r="B24" i="19"/>
  <c r="B4" i="19"/>
  <c r="B19" i="19"/>
  <c r="B16" i="19"/>
  <c r="B18" i="19"/>
  <c r="B11" i="19"/>
  <c r="F3" i="16" l="1"/>
  <c r="G3" i="16"/>
  <c r="H3" i="16"/>
  <c r="I3" i="16"/>
  <c r="J3" i="16"/>
  <c r="K3" i="16"/>
  <c r="L3" i="16"/>
  <c r="M3" i="16"/>
  <c r="E4" i="16"/>
  <c r="F4" i="16"/>
  <c r="G4" i="16"/>
  <c r="H4" i="16"/>
  <c r="I4" i="16"/>
  <c r="J4" i="16"/>
  <c r="K4" i="16"/>
  <c r="L4" i="16"/>
  <c r="M4" i="16"/>
  <c r="N4" i="16"/>
  <c r="H8" i="16"/>
  <c r="J8" i="16"/>
  <c r="K8" i="16"/>
  <c r="L8" i="16"/>
  <c r="M8" i="16"/>
  <c r="G9" i="16"/>
  <c r="H9" i="16"/>
  <c r="J9" i="16"/>
  <c r="K9" i="16"/>
  <c r="M9" i="16"/>
  <c r="E11" i="16"/>
  <c r="F11" i="16"/>
  <c r="G11" i="16"/>
  <c r="H11" i="16"/>
  <c r="I11" i="16"/>
  <c r="J11" i="16"/>
  <c r="K11" i="16"/>
  <c r="L11" i="16"/>
  <c r="M11" i="16"/>
  <c r="N11" i="16"/>
  <c r="K13" i="16"/>
  <c r="L13" i="16"/>
  <c r="M13" i="16"/>
  <c r="N13" i="16"/>
  <c r="G15" i="16"/>
  <c r="H15" i="16"/>
  <c r="J15" i="16"/>
  <c r="K15" i="16"/>
  <c r="L15" i="16"/>
  <c r="M15" i="16"/>
  <c r="N15" i="16"/>
  <c r="J18" i="16"/>
  <c r="K18" i="16"/>
  <c r="L18" i="16"/>
  <c r="M18" i="16"/>
  <c r="H19" i="16"/>
  <c r="J19" i="16"/>
  <c r="K19" i="16"/>
  <c r="L19" i="16"/>
  <c r="M19" i="16"/>
  <c r="N19" i="16"/>
  <c r="H20" i="16"/>
  <c r="K20" i="16"/>
  <c r="L20" i="16"/>
  <c r="N20" i="16"/>
  <c r="J21" i="16"/>
  <c r="K21" i="16"/>
  <c r="E27" i="16"/>
  <c r="F27" i="16"/>
  <c r="G27" i="16"/>
  <c r="I27" i="16"/>
  <c r="J27" i="16"/>
  <c r="K27" i="16"/>
  <c r="M27" i="16"/>
  <c r="N27" i="16"/>
  <c r="E2" i="16"/>
  <c r="N2" i="16"/>
  <c r="F2" i="16"/>
  <c r="G2" i="16"/>
  <c r="H2" i="16"/>
  <c r="I2" i="16"/>
  <c r="J2" i="16"/>
  <c r="K2" i="16"/>
  <c r="L2" i="16"/>
  <c r="M2" i="16"/>
  <c r="B21" i="16"/>
  <c r="C21" i="16" s="1"/>
  <c r="B19" i="16"/>
  <c r="C19" i="16" s="1"/>
  <c r="B9" i="16"/>
  <c r="C9" i="16" s="1"/>
  <c r="B11" i="16"/>
  <c r="C11" i="16" s="1"/>
  <c r="B3" i="16"/>
  <c r="C3" i="16" s="1"/>
  <c r="B4" i="16"/>
  <c r="C4" i="16" s="1"/>
  <c r="B30" i="1"/>
  <c r="C30" i="1"/>
  <c r="D30" i="1"/>
  <c r="O11" i="16" l="1"/>
  <c r="O2" i="16"/>
  <c r="O4" i="16"/>
  <c r="H6" i="8"/>
  <c r="C25" i="19" s="1"/>
  <c r="H7" i="8"/>
  <c r="C8" i="19" s="1"/>
  <c r="H8" i="8"/>
  <c r="C2" i="19" s="1"/>
  <c r="H9" i="8"/>
  <c r="C21" i="19" s="1"/>
  <c r="H10" i="8"/>
  <c r="C6" i="19" s="1"/>
  <c r="H11" i="8"/>
  <c r="C10" i="19" s="1"/>
  <c r="H12" i="8"/>
  <c r="C3" i="19" s="1"/>
  <c r="H13" i="8"/>
  <c r="C26" i="19" s="1"/>
  <c r="H14" i="8"/>
  <c r="C17" i="19" s="1"/>
  <c r="H15" i="8"/>
  <c r="H16" i="8"/>
  <c r="C13" i="19" s="1"/>
  <c r="H17" i="8"/>
  <c r="C20" i="19" s="1"/>
  <c r="H18" i="8"/>
  <c r="C15" i="19" s="1"/>
  <c r="H19" i="8"/>
  <c r="H20" i="8"/>
  <c r="C12" i="19" s="1"/>
  <c r="H21" i="8"/>
  <c r="C5" i="19" s="1"/>
  <c r="H22" i="8"/>
  <c r="C27" i="19" s="1"/>
  <c r="H23" i="8"/>
  <c r="C9" i="19" s="1"/>
  <c r="H24" i="8"/>
  <c r="C22" i="19" s="1"/>
  <c r="H25" i="8"/>
  <c r="C23" i="19" s="1"/>
  <c r="H26" i="8"/>
  <c r="C24" i="19" s="1"/>
  <c r="H27" i="8"/>
  <c r="C4" i="19" s="1"/>
  <c r="H29" i="8"/>
  <c r="C19" i="19" s="1"/>
  <c r="H30" i="8"/>
  <c r="C16" i="19" s="1"/>
  <c r="H31" i="8"/>
  <c r="C18" i="19" s="1"/>
  <c r="C11" i="19"/>
  <c r="G28" i="8"/>
  <c r="D28" i="7" l="1"/>
  <c r="E28" i="7"/>
  <c r="F28" i="7"/>
  <c r="G28" i="7"/>
  <c r="B11" i="7"/>
  <c r="B41" i="10"/>
  <c r="B42" i="10"/>
  <c r="B44" i="10"/>
  <c r="B49" i="10"/>
  <c r="B50" i="10"/>
  <c r="B51" i="10"/>
  <c r="B53" i="10"/>
  <c r="B55" i="10"/>
  <c r="B57" i="10"/>
  <c r="B61" i="10"/>
  <c r="B63" i="10"/>
  <c r="B24" i="7" s="1"/>
  <c r="B65" i="10"/>
  <c r="B26" i="7" s="1"/>
  <c r="B66" i="10"/>
  <c r="B27" i="7" s="1"/>
  <c r="C26" i="7" l="1"/>
  <c r="C24" i="7"/>
  <c r="C6" i="7"/>
  <c r="C11" i="7" l="1"/>
  <c r="H17" i="7" l="1"/>
  <c r="L27" i="16" l="1"/>
  <c r="H27" i="16"/>
  <c r="B32" i="10"/>
  <c r="B70" i="10" s="1"/>
  <c r="B31" i="7" s="1"/>
  <c r="C31" i="7" s="1"/>
  <c r="E31" i="10"/>
  <c r="I31" i="10"/>
  <c r="N31" i="10"/>
  <c r="N30" i="10"/>
  <c r="E28" i="10"/>
  <c r="F21" i="16" s="1"/>
  <c r="H28" i="10"/>
  <c r="I21" i="16" s="1"/>
  <c r="G28" i="10"/>
  <c r="H21" i="16" s="1"/>
  <c r="L28" i="10"/>
  <c r="M21" i="16" s="1"/>
  <c r="F28" i="10"/>
  <c r="G21" i="16" s="1"/>
  <c r="D28" i="10"/>
  <c r="K28" i="10"/>
  <c r="L21" i="16" s="1"/>
  <c r="C28" i="10"/>
  <c r="I26" i="10"/>
  <c r="J20" i="16" s="1"/>
  <c r="L26" i="10"/>
  <c r="M20" i="16" s="1"/>
  <c r="H26" i="10"/>
  <c r="I20" i="16" s="1"/>
  <c r="E26" i="10"/>
  <c r="F20" i="16" s="1"/>
  <c r="D26" i="10"/>
  <c r="E20" i="16" s="1"/>
  <c r="F26" i="10"/>
  <c r="G20" i="16" s="1"/>
  <c r="B26" i="10"/>
  <c r="H25" i="10"/>
  <c r="I19" i="16" s="1"/>
  <c r="F25" i="10"/>
  <c r="G19" i="16" s="1"/>
  <c r="E25" i="10"/>
  <c r="F19" i="16" s="1"/>
  <c r="C25" i="10"/>
  <c r="B24" i="10"/>
  <c r="H24" i="10"/>
  <c r="I18" i="16" s="1"/>
  <c r="G24" i="10"/>
  <c r="H18" i="16" s="1"/>
  <c r="E24" i="10"/>
  <c r="F18" i="16" s="1"/>
  <c r="F24" i="10"/>
  <c r="G18" i="16" s="1"/>
  <c r="D24" i="10"/>
  <c r="E18" i="16" l="1"/>
  <c r="N18" i="16"/>
  <c r="O27" i="16"/>
  <c r="D30" i="10"/>
  <c r="E25" i="16" s="1"/>
  <c r="M25" i="16"/>
  <c r="H25" i="16"/>
  <c r="F25" i="16"/>
  <c r="G25" i="16"/>
  <c r="K25" i="16"/>
  <c r="J25" i="16"/>
  <c r="F26" i="16"/>
  <c r="C31" i="10"/>
  <c r="K26" i="16"/>
  <c r="M26" i="16"/>
  <c r="L26" i="16"/>
  <c r="B26" i="16"/>
  <c r="C26" i="16" s="1"/>
  <c r="E26" i="16"/>
  <c r="N26" i="16"/>
  <c r="I26" i="16"/>
  <c r="G26" i="16"/>
  <c r="H26" i="16"/>
  <c r="B62" i="10"/>
  <c r="B18" i="16"/>
  <c r="C18" i="16" s="1"/>
  <c r="B27" i="16"/>
  <c r="C27" i="16" s="1"/>
  <c r="B64" i="10"/>
  <c r="B25" i="7" s="1"/>
  <c r="B20" i="16"/>
  <c r="C20" i="16" s="1"/>
  <c r="M28" i="10"/>
  <c r="E21" i="16"/>
  <c r="J26" i="16"/>
  <c r="O20" i="16"/>
  <c r="O19" i="16"/>
  <c r="C26" i="10"/>
  <c r="C24" i="10"/>
  <c r="B30" i="10"/>
  <c r="H30" i="10"/>
  <c r="I25" i="16" s="1"/>
  <c r="K30" i="10"/>
  <c r="L25" i="16" s="1"/>
  <c r="N22" i="10"/>
  <c r="H21" i="10"/>
  <c r="G21" i="10"/>
  <c r="D21" i="10"/>
  <c r="N21" i="10"/>
  <c r="C25" i="7" l="1"/>
  <c r="O18" i="16"/>
  <c r="H16" i="16"/>
  <c r="N16" i="16"/>
  <c r="E16" i="16"/>
  <c r="B25" i="16"/>
  <c r="C25" i="16" s="1"/>
  <c r="B68" i="10"/>
  <c r="B29" i="7" s="1"/>
  <c r="M30" i="10"/>
  <c r="N25" i="16" s="1"/>
  <c r="O25" i="16" s="1"/>
  <c r="O26" i="16"/>
  <c r="B21" i="10"/>
  <c r="C21" i="10" s="1"/>
  <c r="J16" i="16"/>
  <c r="K16" i="16"/>
  <c r="L16" i="16"/>
  <c r="G16" i="16"/>
  <c r="M16" i="16"/>
  <c r="F16" i="16"/>
  <c r="D22" i="10"/>
  <c r="E17" i="16" s="1"/>
  <c r="M17" i="16"/>
  <c r="J17" i="16"/>
  <c r="K17" i="16"/>
  <c r="L17" i="16"/>
  <c r="I16" i="16"/>
  <c r="N21" i="16"/>
  <c r="O21" i="16" s="1"/>
  <c r="H22" i="10"/>
  <c r="I17" i="16" s="1"/>
  <c r="F22" i="10"/>
  <c r="G17" i="16" s="1"/>
  <c r="G22" i="10"/>
  <c r="H17" i="16" s="1"/>
  <c r="E22" i="10"/>
  <c r="F17" i="16" s="1"/>
  <c r="B22" i="10"/>
  <c r="C30" i="10"/>
  <c r="N18" i="10"/>
  <c r="B19" i="10"/>
  <c r="B15" i="16" s="1"/>
  <c r="C15" i="16" s="1"/>
  <c r="H19" i="10"/>
  <c r="I15" i="16" s="1"/>
  <c r="E19" i="10"/>
  <c r="F15" i="16" s="1"/>
  <c r="D19" i="10"/>
  <c r="E15" i="16" s="1"/>
  <c r="I17" i="10"/>
  <c r="J13" i="16" s="1"/>
  <c r="H17" i="10"/>
  <c r="I13" i="16" s="1"/>
  <c r="E17" i="10"/>
  <c r="F13" i="16" s="1"/>
  <c r="F17" i="10"/>
  <c r="G13" i="16" s="1"/>
  <c r="G17" i="10"/>
  <c r="H13" i="16" s="1"/>
  <c r="D17" i="10"/>
  <c r="E13" i="16" s="1"/>
  <c r="C17" i="10"/>
  <c r="I15" i="10"/>
  <c r="J15" i="10"/>
  <c r="H15" i="10"/>
  <c r="G15" i="10"/>
  <c r="E15" i="10"/>
  <c r="F15" i="10"/>
  <c r="C15" i="10"/>
  <c r="B15" i="10"/>
  <c r="G13" i="10"/>
  <c r="H12" i="7"/>
  <c r="N10" i="16" l="1"/>
  <c r="M22" i="10"/>
  <c r="N17" i="16" s="1"/>
  <c r="M18" i="10"/>
  <c r="O13" i="16"/>
  <c r="O16" i="16"/>
  <c r="E14" i="16"/>
  <c r="M14" i="16"/>
  <c r="G14" i="16"/>
  <c r="F14" i="16"/>
  <c r="N14" i="16"/>
  <c r="B14" i="16"/>
  <c r="C14" i="16" s="1"/>
  <c r="K14" i="16"/>
  <c r="L14" i="16"/>
  <c r="H14" i="16"/>
  <c r="I14" i="16"/>
  <c r="J14" i="16"/>
  <c r="H10" i="16"/>
  <c r="O17" i="16"/>
  <c r="B59" i="10"/>
  <c r="B20" i="7" s="1"/>
  <c r="B16" i="16"/>
  <c r="C16" i="16" s="1"/>
  <c r="E10" i="16"/>
  <c r="M10" i="16"/>
  <c r="G10" i="16"/>
  <c r="F10" i="16"/>
  <c r="K10" i="16"/>
  <c r="B10" i="16"/>
  <c r="C10" i="16" s="1"/>
  <c r="L10" i="16"/>
  <c r="I10" i="16"/>
  <c r="J10" i="16"/>
  <c r="B52" i="10"/>
  <c r="B54" i="10"/>
  <c r="B13" i="16"/>
  <c r="C13" i="16" s="1"/>
  <c r="O15" i="16"/>
  <c r="B60" i="10"/>
  <c r="B21" i="7" s="1"/>
  <c r="B17" i="16"/>
  <c r="C17" i="16" s="1"/>
  <c r="C22" i="10"/>
  <c r="C19" i="10"/>
  <c r="B56" i="10"/>
  <c r="B18" i="7" s="1"/>
  <c r="N15" i="10"/>
  <c r="C12" i="10"/>
  <c r="K12" i="10"/>
  <c r="L9" i="16" s="1"/>
  <c r="H12" i="10"/>
  <c r="I9" i="16" s="1"/>
  <c r="E12" i="10"/>
  <c r="F9" i="16" s="1"/>
  <c r="D12" i="10"/>
  <c r="N9" i="10"/>
  <c r="H9" i="10"/>
  <c r="B9" i="10"/>
  <c r="F9" i="10"/>
  <c r="G9" i="10"/>
  <c r="D9" i="10"/>
  <c r="K9" i="10"/>
  <c r="I9" i="10"/>
  <c r="J9" i="10"/>
  <c r="K6" i="16" s="1"/>
  <c r="L9" i="10"/>
  <c r="M6" i="16" s="1"/>
  <c r="E9" i="10"/>
  <c r="C21" i="7" l="1"/>
  <c r="C20" i="7"/>
  <c r="C18" i="7"/>
  <c r="E9" i="16"/>
  <c r="M12" i="10"/>
  <c r="N9" i="16" s="1"/>
  <c r="G6" i="16"/>
  <c r="F6" i="16"/>
  <c r="I12" i="16"/>
  <c r="N12" i="16"/>
  <c r="N6" i="16"/>
  <c r="I6" i="16"/>
  <c r="J12" i="16"/>
  <c r="L6" i="16"/>
  <c r="E6" i="16"/>
  <c r="F12" i="16"/>
  <c r="G29" i="10"/>
  <c r="H6" i="16"/>
  <c r="O10" i="16"/>
  <c r="B46" i="10"/>
  <c r="B6" i="16"/>
  <c r="C6" i="16" s="1"/>
  <c r="L12" i="16"/>
  <c r="E12" i="16"/>
  <c r="M12" i="16"/>
  <c r="B12" i="16"/>
  <c r="C12" i="16" s="1"/>
  <c r="O14" i="16"/>
  <c r="H12" i="16"/>
  <c r="I29" i="10"/>
  <c r="J6" i="16"/>
  <c r="K12" i="16"/>
  <c r="G12" i="16"/>
  <c r="C9" i="10"/>
  <c r="H11" i="10"/>
  <c r="I8" i="16" s="1"/>
  <c r="F11" i="10"/>
  <c r="G8" i="16" s="1"/>
  <c r="E11" i="10"/>
  <c r="D11" i="10"/>
  <c r="B11" i="10"/>
  <c r="B8" i="16" s="1"/>
  <c r="C8" i="16" s="1"/>
  <c r="N10" i="10"/>
  <c r="J8" i="10"/>
  <c r="K8" i="10"/>
  <c r="L8" i="10"/>
  <c r="N8" i="10"/>
  <c r="O9" i="16" l="1"/>
  <c r="B10" i="10"/>
  <c r="C10" i="10"/>
  <c r="N7" i="16"/>
  <c r="E8" i="16"/>
  <c r="M11" i="10"/>
  <c r="N8" i="16" s="1"/>
  <c r="O6" i="16"/>
  <c r="E29" i="10"/>
  <c r="F8" i="16"/>
  <c r="N29" i="10"/>
  <c r="H23" i="16" s="1"/>
  <c r="H5" i="16"/>
  <c r="J5" i="16"/>
  <c r="F5" i="16"/>
  <c r="L29" i="10"/>
  <c r="M5" i="16"/>
  <c r="K29" i="10"/>
  <c r="L5" i="16"/>
  <c r="J29" i="10"/>
  <c r="K5" i="16"/>
  <c r="K7" i="16"/>
  <c r="E7" i="16"/>
  <c r="M7" i="16"/>
  <c r="L7" i="16"/>
  <c r="F7" i="16"/>
  <c r="J7" i="16"/>
  <c r="G7" i="16"/>
  <c r="H7" i="16"/>
  <c r="I7" i="16"/>
  <c r="O12" i="16"/>
  <c r="D8" i="10"/>
  <c r="E5" i="16" s="1"/>
  <c r="F8" i="10"/>
  <c r="C11" i="10"/>
  <c r="B48" i="10"/>
  <c r="H8" i="10"/>
  <c r="B8" i="10"/>
  <c r="C8" i="10"/>
  <c r="D6" i="10"/>
  <c r="C7" i="10"/>
  <c r="B2" i="16"/>
  <c r="C2" i="16" s="1"/>
  <c r="M8" i="10" l="1"/>
  <c r="N5" i="16" s="1"/>
  <c r="K23" i="16"/>
  <c r="N3" i="16"/>
  <c r="M29" i="10"/>
  <c r="N23" i="16" s="1"/>
  <c r="O8" i="16"/>
  <c r="B7" i="16"/>
  <c r="C7" i="16" s="1"/>
  <c r="B47" i="10"/>
  <c r="L23" i="16"/>
  <c r="F29" i="10"/>
  <c r="G23" i="16" s="1"/>
  <c r="G5" i="16"/>
  <c r="D29" i="10"/>
  <c r="E23" i="16" s="1"/>
  <c r="E3" i="16"/>
  <c r="O3" i="16" s="1"/>
  <c r="J23" i="16"/>
  <c r="H29" i="10"/>
  <c r="I23" i="16" s="1"/>
  <c r="I5" i="16"/>
  <c r="M23" i="16"/>
  <c r="O7" i="16"/>
  <c r="B45" i="10"/>
  <c r="B7" i="7" s="1"/>
  <c r="B5" i="16"/>
  <c r="C5" i="16" s="1"/>
  <c r="F23" i="16"/>
  <c r="B29" i="10"/>
  <c r="B23" i="16" s="1"/>
  <c r="C23" i="16" s="1"/>
  <c r="C29" i="10"/>
  <c r="E30" i="1"/>
  <c r="B3" i="7" l="1"/>
  <c r="B67" i="10"/>
  <c r="C7" i="7"/>
  <c r="O5" i="16"/>
  <c r="O23" i="16"/>
  <c r="B32" i="8"/>
  <c r="B7" i="19" s="1"/>
  <c r="C25" i="1"/>
  <c r="H32" i="8" l="1"/>
  <c r="C7" i="19" s="1"/>
  <c r="C10" i="7"/>
  <c r="H9" i="7"/>
  <c r="H8" i="7"/>
  <c r="H28" i="7" s="1"/>
  <c r="B5" i="8" l="1"/>
  <c r="B14" i="19" s="1"/>
  <c r="B5" i="7"/>
  <c r="B28" i="7" s="1"/>
  <c r="C5" i="7"/>
  <c r="C28" i="7" s="1"/>
  <c r="E4" i="1"/>
  <c r="H5" i="8" l="1"/>
  <c r="C14" i="19" s="1"/>
  <c r="B28" i="8"/>
  <c r="J28" i="8" s="1"/>
  <c r="H28" i="8" l="1"/>
  <c r="C29" i="19" s="1"/>
  <c r="N28" i="16"/>
  <c r="O28" i="16" s="1"/>
</calcChain>
</file>

<file path=xl/sharedStrings.xml><?xml version="1.0" encoding="utf-8"?>
<sst xmlns="http://schemas.openxmlformats.org/spreadsheetml/2006/main" count="958" uniqueCount="330">
  <si>
    <t>Overview of District Heating and Cooling Markets and Regulatory Frameworks under the Revised Renewable Energy Directive</t>
  </si>
  <si>
    <t>Block A: Market Overview</t>
  </si>
  <si>
    <t>Data</t>
  </si>
  <si>
    <t>District heating final energy consumption per sector</t>
  </si>
  <si>
    <t>DH share of total energy and space heating and hot water consumption</t>
  </si>
  <si>
    <t>District cooling installed capacities and sales</t>
  </si>
  <si>
    <t>District heating technology mix and installed capacity</t>
  </si>
  <si>
    <t>District heating heat supply structure and fuel mix</t>
  </si>
  <si>
    <t>District heating trench length and size</t>
  </si>
  <si>
    <t>CHP data</t>
  </si>
  <si>
    <t>Energy Balances-Eurostat</t>
  </si>
  <si>
    <t>Sources</t>
  </si>
  <si>
    <t>Version</t>
  </si>
  <si>
    <t>For any questions or comments regarding the data in this file, please contact:</t>
  </si>
  <si>
    <t>Eftim Popovski</t>
  </si>
  <si>
    <t>e.popovski@irees.de</t>
  </si>
  <si>
    <t>Alexandre Bacquet</t>
  </si>
  <si>
    <t>alexandre.bacquet@tilia.info</t>
  </si>
  <si>
    <t>LEGAL NOTICE</t>
  </si>
  <si>
    <t>This document has been prepared for the European Commission however it reflects the views only of the authors, and the Commission cannot be held responsible for any use which may be made of the information contained therein.</t>
  </si>
  <si>
    <t>District heating final energy consumption (GWh) in 2018</t>
  </si>
  <si>
    <t>Country</t>
  </si>
  <si>
    <t>Residential</t>
  </si>
  <si>
    <t>Services</t>
  </si>
  <si>
    <t>Industry</t>
  </si>
  <si>
    <t>Total*</t>
  </si>
  <si>
    <t>Source number</t>
  </si>
  <si>
    <t xml:space="preserve">Austria  </t>
  </si>
  <si>
    <t>Belgium (Flanders)</t>
  </si>
  <si>
    <t xml:space="preserve">Bulgaria </t>
  </si>
  <si>
    <t xml:space="preserve">Cyprus  </t>
  </si>
  <si>
    <t xml:space="preserve">Croatia </t>
  </si>
  <si>
    <t xml:space="preserve">Czech Republic </t>
  </si>
  <si>
    <t xml:space="preserve">Denmark </t>
  </si>
  <si>
    <t xml:space="preserve">Estonia </t>
  </si>
  <si>
    <t xml:space="preserve">Finland </t>
  </si>
  <si>
    <t xml:space="preserve">France </t>
  </si>
  <si>
    <t xml:space="preserve">Germany </t>
  </si>
  <si>
    <t xml:space="preserve">Greece </t>
  </si>
  <si>
    <t xml:space="preserve">Hungary </t>
  </si>
  <si>
    <t xml:space="preserve">Ireland </t>
  </si>
  <si>
    <t xml:space="preserve">Italy </t>
  </si>
  <si>
    <t xml:space="preserve">Latvia </t>
  </si>
  <si>
    <t xml:space="preserve">Lithuania </t>
  </si>
  <si>
    <t xml:space="preserve">Luxembourg </t>
  </si>
  <si>
    <t xml:space="preserve">Malta </t>
  </si>
  <si>
    <t xml:space="preserve">Netherlands </t>
  </si>
  <si>
    <t xml:space="preserve">Poland </t>
  </si>
  <si>
    <t xml:space="preserve">Portugal </t>
  </si>
  <si>
    <t xml:space="preserve">                   </t>
  </si>
  <si>
    <t xml:space="preserve">Romania </t>
  </si>
  <si>
    <t xml:space="preserve">Slovakia </t>
  </si>
  <si>
    <t xml:space="preserve">Slovenia </t>
  </si>
  <si>
    <t xml:space="preserve">Spain </t>
  </si>
  <si>
    <t xml:space="preserve">Sweden </t>
  </si>
  <si>
    <t xml:space="preserve"> EU-27</t>
  </si>
  <si>
    <t>United Kingdom</t>
  </si>
  <si>
    <t xml:space="preserve">-   </t>
  </si>
  <si>
    <t xml:space="preserve">Iceland </t>
  </si>
  <si>
    <t xml:space="preserve">Norway </t>
  </si>
  <si>
    <t xml:space="preserve">Ukraine </t>
  </si>
  <si>
    <t>44-47</t>
  </si>
  <si>
    <t>*The total includes heat to other sectors (energy, agriculture, etc.) if applicable</t>
  </si>
  <si>
    <t>Share of DH in the total residential energy consumption and the space heating and hot water consumption (2018)</t>
  </si>
  <si>
    <t>Total FEC (GWh)</t>
  </si>
  <si>
    <t>SH+HW FEC (GWh)</t>
  </si>
  <si>
    <t xml:space="preserve"> DH FEC (GWh)</t>
  </si>
  <si>
    <t>DH Share in SH+HW FEC</t>
  </si>
  <si>
    <t>DH Share in Total FEC</t>
  </si>
  <si>
    <t>Belgium*</t>
  </si>
  <si>
    <t>UK</t>
  </si>
  <si>
    <t>* DH Consumption only for Flanders region</t>
  </si>
  <si>
    <t>SH - Space heating</t>
  </si>
  <si>
    <t>HW - Hot water</t>
  </si>
  <si>
    <t>FEC - Final energy consumption</t>
  </si>
  <si>
    <t>Share of DH in the total service sector energy consumption and the space heating and hot water consumption (2018)</t>
  </si>
  <si>
    <t>DH Share in SH+HW</t>
  </si>
  <si>
    <t>Share of DH in the total industry sector energy consumption (2018)</t>
  </si>
  <si>
    <t>District Cooling installed capacities and sales in 2018</t>
  </si>
  <si>
    <t xml:space="preserve">Installed Capacity (MW) </t>
  </si>
  <si>
    <t>District cooling sales (GWh)</t>
  </si>
  <si>
    <t>km</t>
  </si>
  <si>
    <t xml:space="preserve">Belgium   </t>
  </si>
  <si>
    <t>EU-27</t>
  </si>
  <si>
    <t>District heating technology mix and installed capacities</t>
  </si>
  <si>
    <r>
      <t> </t>
    </r>
    <r>
      <rPr>
        <sz val="10"/>
        <color rgb="FFFFFFFF"/>
        <rFont val="Verdana"/>
        <family val="2"/>
      </rPr>
      <t>Country</t>
    </r>
    <r>
      <rPr>
        <sz val="8"/>
        <color rgb="FFFFFFFF"/>
        <rFont val="Times New Roman"/>
        <family val="1"/>
      </rPr>
      <t> </t>
    </r>
  </si>
  <si>
    <r>
      <t xml:space="preserve">CHP Heat </t>
    </r>
    <r>
      <rPr>
        <sz val="8"/>
        <color rgb="FFFFFFFF"/>
        <rFont val="Times New Roman"/>
        <family val="1"/>
      </rPr>
      <t> </t>
    </r>
    <r>
      <rPr>
        <sz val="10"/>
        <color rgb="FFFFFFFF"/>
        <rFont val="Verdana"/>
        <family val="2"/>
      </rPr>
      <t>Capacity (MW)</t>
    </r>
  </si>
  <si>
    <t>Heat Only Boilers (MW)</t>
  </si>
  <si>
    <t>Geothermal (MW)</t>
  </si>
  <si>
    <t>Solar thermal (MW)</t>
  </si>
  <si>
    <t>Heat pumps (MW)</t>
  </si>
  <si>
    <t>Industrial excess heat (MW)</t>
  </si>
  <si>
    <r>
      <t>Total installed capacity (MW)</t>
    </r>
    <r>
      <rPr>
        <sz val="12"/>
        <color rgb="FFFFFFFF"/>
        <rFont val="Times New Roman"/>
        <family val="1"/>
      </rPr>
      <t>  </t>
    </r>
  </si>
  <si>
    <r>
      <t> Country</t>
    </r>
    <r>
      <rPr>
        <sz val="8"/>
        <rFont val="Times New Roman"/>
        <family val="1"/>
      </rPr>
      <t> </t>
    </r>
  </si>
  <si>
    <r>
      <rPr>
        <sz val="10"/>
        <color theme="0"/>
        <rFont val="Verdana"/>
        <family val="2"/>
      </rPr>
      <t xml:space="preserve">CHP Heat </t>
    </r>
    <r>
      <rPr>
        <sz val="8"/>
        <color theme="0"/>
        <rFont val="Times New Roman"/>
        <family val="1"/>
      </rPr>
      <t> </t>
    </r>
    <r>
      <rPr>
        <sz val="10"/>
        <color theme="0"/>
        <rFont val="Verdana"/>
        <family val="2"/>
      </rPr>
      <t>Capacity* (MW)</t>
    </r>
  </si>
  <si>
    <t>Heat Only Boilers** (MW)</t>
  </si>
  <si>
    <r>
      <t>Austria</t>
    </r>
    <r>
      <rPr>
        <vertAlign val="superscript"/>
        <sz val="10"/>
        <color rgb="FF000000"/>
        <rFont val="Verdana"/>
        <family val="2"/>
      </rPr>
      <t>1</t>
    </r>
  </si>
  <si>
    <t>Calculated</t>
  </si>
  <si>
    <t>4, Calculated</t>
  </si>
  <si>
    <t>Netherlands²</t>
  </si>
  <si>
    <r>
      <t>Portugal</t>
    </r>
    <r>
      <rPr>
        <vertAlign val="superscript"/>
        <sz val="10"/>
        <color rgb="FF000000"/>
        <rFont val="Verdana"/>
        <family val="2"/>
      </rPr>
      <t>1</t>
    </r>
  </si>
  <si>
    <r>
      <t>Slovakia</t>
    </r>
    <r>
      <rPr>
        <vertAlign val="superscript"/>
        <sz val="10"/>
        <color rgb="FF000000"/>
        <rFont val="Verdana"/>
        <family val="2"/>
      </rPr>
      <t>1</t>
    </r>
  </si>
  <si>
    <r>
      <t xml:space="preserve">Slovenia </t>
    </r>
    <r>
      <rPr>
        <vertAlign val="superscript"/>
        <sz val="10"/>
        <color rgb="FF000000"/>
        <rFont val="Verdana"/>
        <family val="2"/>
      </rPr>
      <t>1</t>
    </r>
  </si>
  <si>
    <r>
      <t xml:space="preserve">Norway </t>
    </r>
    <r>
      <rPr>
        <vertAlign val="superscript"/>
        <sz val="10"/>
        <color rgb="FF000000"/>
        <rFont val="Verdana"/>
        <family val="2"/>
      </rPr>
      <t>1</t>
    </r>
  </si>
  <si>
    <t>1 Total capacity for 2017
2 Total capacity for 2013</t>
  </si>
  <si>
    <t>* For those countries where no data for the thermal CHP capacity was provided ,the capacity is calculated by dividing the heat supplied by cogeneration provided by national reports (see Sheet A.1.3 Heat supply and fuel mix) and the CHP full load hours (see Sheet CHP Data)</t>
  </si>
  <si>
    <t>** For those countries where no data for the installed capacities of heat only boilers is provided, the capacity is calculated by substracting the total installed capacity with the capacities from the remaining technologies</t>
  </si>
  <si>
    <t>District heating supply structure and fuel mix</t>
  </si>
  <si>
    <t>Heat supply structure (GWh)</t>
  </si>
  <si>
    <t>Fuel mix (GWh)</t>
  </si>
  <si>
    <t>Cogeneration</t>
  </si>
  <si>
    <t>Heat Only</t>
  </si>
  <si>
    <t>Gas</t>
  </si>
  <si>
    <t>Oil</t>
  </si>
  <si>
    <t>Coal and peat</t>
  </si>
  <si>
    <t>Non-renewable waste</t>
  </si>
  <si>
    <t>Biomass, biofuels and renewable waste</t>
  </si>
  <si>
    <t>Geothermal</t>
  </si>
  <si>
    <t xml:space="preserve">Solar thermal </t>
  </si>
  <si>
    <t>Heat pumps incl elec.</t>
  </si>
  <si>
    <t>Industrial excess heat</t>
  </si>
  <si>
    <t>Other</t>
  </si>
  <si>
    <t>Total Heat supply</t>
  </si>
  <si>
    <t>10,38,39</t>
  </si>
  <si>
    <t>12, 45,46,47</t>
  </si>
  <si>
    <t>Cogeneration (MWth)</t>
  </si>
  <si>
    <t>Full load hours</t>
  </si>
  <si>
    <r>
      <t> </t>
    </r>
    <r>
      <rPr>
        <sz val="10"/>
        <color rgb="FFFFFFFF"/>
        <rFont val="Verdana"/>
        <family val="2"/>
      </rPr>
      <t>Country </t>
    </r>
  </si>
  <si>
    <t>Trench length - one way (km)</t>
  </si>
  <si>
    <t>Served citizens (%)</t>
  </si>
  <si>
    <t>Number of customers/substations (-)</t>
  </si>
  <si>
    <t>Population 2019 (Eurostat)</t>
  </si>
  <si>
    <t>DH Length density (km/1.000 residents)</t>
  </si>
  <si>
    <t>Served citizens per trench length (residents/km)</t>
  </si>
  <si>
    <r>
      <t>Austria</t>
    </r>
    <r>
      <rPr>
        <vertAlign val="superscript"/>
        <sz val="10"/>
        <color rgb="FF000000"/>
        <rFont val="Verdana"/>
        <family val="2"/>
      </rPr>
      <t>1</t>
    </r>
    <r>
      <rPr>
        <sz val="10"/>
        <color rgb="FF000000"/>
        <rFont val="Verdana"/>
        <family val="2"/>
      </rPr>
      <t xml:space="preserve">   </t>
    </r>
  </si>
  <si>
    <t xml:space="preserve">Sweden²  </t>
  </si>
  <si>
    <t xml:space="preserve">Iceland³ </t>
  </si>
  <si>
    <t>1 26% of served buildings</t>
  </si>
  <si>
    <t>2 2014 Trench length data</t>
  </si>
  <si>
    <t>3 Trench length estimated</t>
  </si>
  <si>
    <t>Eurostat CHP Data</t>
  </si>
  <si>
    <t>Total CHP Heat production, PJ</t>
  </si>
  <si>
    <t>Total CHP Heat capacity, GW</t>
  </si>
  <si>
    <t xml:space="preserve">Full load hours </t>
  </si>
  <si>
    <t>Source</t>
  </si>
  <si>
    <t>Austria</t>
  </si>
  <si>
    <r>
      <t>Belgium</t>
    </r>
    <r>
      <rPr>
        <b/>
        <vertAlign val="superscript"/>
        <sz val="9"/>
        <rFont val="Arial"/>
        <family val="2"/>
      </rPr>
      <t>3</t>
    </r>
  </si>
  <si>
    <t>Bulgaria</t>
  </si>
  <si>
    <t>Croatia</t>
  </si>
  <si>
    <t>Czech Republic</t>
  </si>
  <si>
    <t>Denmark</t>
  </si>
  <si>
    <r>
      <t>Estonia</t>
    </r>
    <r>
      <rPr>
        <b/>
        <vertAlign val="superscript"/>
        <sz val="9"/>
        <rFont val="Arial"/>
        <family val="2"/>
      </rPr>
      <t>2</t>
    </r>
  </si>
  <si>
    <t>Finland</t>
  </si>
  <si>
    <t>France</t>
  </si>
  <si>
    <t>Germany</t>
  </si>
  <si>
    <r>
      <t>Greece</t>
    </r>
    <r>
      <rPr>
        <b/>
        <vertAlign val="superscript"/>
        <sz val="9"/>
        <rFont val="Arial"/>
        <family val="2"/>
      </rPr>
      <t>2</t>
    </r>
  </si>
  <si>
    <r>
      <t>Hungary</t>
    </r>
    <r>
      <rPr>
        <b/>
        <vertAlign val="superscript"/>
        <sz val="9"/>
        <rFont val="Arial"/>
        <family val="2"/>
      </rPr>
      <t>3</t>
    </r>
  </si>
  <si>
    <r>
      <t>Ireland</t>
    </r>
    <r>
      <rPr>
        <b/>
        <vertAlign val="superscript"/>
        <sz val="9"/>
        <rFont val="Arial"/>
        <family val="2"/>
      </rPr>
      <t>3</t>
    </r>
  </si>
  <si>
    <t>Italy</t>
  </si>
  <si>
    <t>Latvia</t>
  </si>
  <si>
    <t>Lithuania</t>
  </si>
  <si>
    <t>Luxembourg</t>
  </si>
  <si>
    <t>Netherlands</t>
  </si>
  <si>
    <t>Poland</t>
  </si>
  <si>
    <r>
      <t>Portugal</t>
    </r>
    <r>
      <rPr>
        <b/>
        <vertAlign val="superscript"/>
        <sz val="9"/>
        <rFont val="Arial"/>
        <family val="2"/>
      </rPr>
      <t>3</t>
    </r>
  </si>
  <si>
    <t>Romania</t>
  </si>
  <si>
    <t>Slovakia</t>
  </si>
  <si>
    <r>
      <t>Slovenia</t>
    </r>
    <r>
      <rPr>
        <b/>
        <vertAlign val="superscript"/>
        <sz val="9"/>
        <rFont val="Arial"/>
        <family val="2"/>
      </rPr>
      <t>3</t>
    </r>
  </si>
  <si>
    <t>Spain</t>
  </si>
  <si>
    <t>Sweden</t>
  </si>
  <si>
    <r>
      <t>1</t>
    </r>
    <r>
      <rPr>
        <b/>
        <vertAlign val="superscript"/>
        <sz val="8"/>
        <color indexed="8"/>
        <rFont val="Arial"/>
        <family val="2"/>
      </rPr>
      <t xml:space="preserve"> </t>
    </r>
    <r>
      <rPr>
        <b/>
        <sz val="8"/>
        <color indexed="8"/>
        <rFont val="Arial"/>
        <family val="2"/>
      </rPr>
      <t>obtained from annual electricity and heat questionnaire 2018</t>
    </r>
  </si>
  <si>
    <t>2 open validation issues</t>
  </si>
  <si>
    <t>3 contains negative PES figures</t>
  </si>
  <si>
    <t>Total electricity production, GWh</t>
  </si>
  <si>
    <t>Total electrical capacity, MW</t>
  </si>
  <si>
    <t>Energy Balances - Eurostat</t>
  </si>
  <si>
    <t>NRG_BAL: Production per producer </t>
  </si>
  <si>
    <t>GHP_MAPCHP: Gross heat production - main activity producer combined heat and power </t>
  </si>
  <si>
    <t>GHP_MAPH: Gross heat production - main activity producer heat only </t>
  </si>
  <si>
    <t>GHP_APCHP: Gross heat production - autoproducer combined heat and power </t>
  </si>
  <si>
    <t>GHP_APCHP: Gross heat production - autoproducer heat only </t>
  </si>
  <si>
    <t>SIEC: </t>
  </si>
  <si>
    <r>
      <t>Fossil fuels:</t>
    </r>
    <r>
      <rPr>
        <sz val="10"/>
        <rFont val="Verdana"/>
        <family val="2"/>
      </rPr>
      <t xml:space="preserve"> Solid fossil fuels, Natural gas, Oil and petroleum products, Fuel oil, industrial waste (non-renewable), non-renewable municipal waste, non-renewable waste  </t>
    </r>
  </si>
  <si>
    <r>
      <t>Renewables:</t>
    </r>
    <r>
      <rPr>
        <sz val="10"/>
        <rFont val="Verdana"/>
        <family val="2"/>
      </rPr>
      <t xml:space="preserve"> Biogases, solid biofuels, other liquid biofuels, geothermal, solar thermal, ambient heat, renewable industrial waste, renewable municipal waste </t>
    </r>
  </si>
  <si>
    <t>Data for 2018 (GWh)</t>
  </si>
  <si>
    <t>Main Activity</t>
  </si>
  <si>
    <t>Belgium</t>
  </si>
  <si>
    <t>Cyprus</t>
  </si>
  <si>
    <t>Czech</t>
  </si>
  <si>
    <t>Estonia</t>
  </si>
  <si>
    <t>Greece</t>
  </si>
  <si>
    <t>Hungary</t>
  </si>
  <si>
    <t>Ireland</t>
  </si>
  <si>
    <t>Malta</t>
  </si>
  <si>
    <t>Portugal</t>
  </si>
  <si>
    <t>Slovenia</t>
  </si>
  <si>
    <t>Spaín</t>
  </si>
  <si>
    <t>Iceland*</t>
  </si>
  <si>
    <t>Norway*</t>
  </si>
  <si>
    <t>Ukraine*</t>
  </si>
  <si>
    <t>Coal and coal products</t>
  </si>
  <si>
    <t>Oil and petrol products</t>
  </si>
  <si>
    <t>Natural gas</t>
  </si>
  <si>
    <t>Biomass and biofuels</t>
  </si>
  <si>
    <t>Solar thermal</t>
  </si>
  <si>
    <t>Ambient heat (heat pumps)</t>
  </si>
  <si>
    <t>Renewable municipal waste</t>
  </si>
  <si>
    <t>Heat only</t>
  </si>
  <si>
    <t>Total Gros heat production</t>
  </si>
  <si>
    <t>2018 GWh</t>
  </si>
  <si>
    <t>Autoproducers</t>
  </si>
  <si>
    <t>Norway</t>
  </si>
  <si>
    <t>Total net heat production</t>
  </si>
  <si>
    <t>*2017 Data for Iceland, Norway and Ukraine</t>
  </si>
  <si>
    <t>Number</t>
  </si>
  <si>
    <t>Country / Region</t>
  </si>
  <si>
    <t>Source/ Author</t>
  </si>
  <si>
    <t>Title</t>
  </si>
  <si>
    <t>Publication year</t>
  </si>
  <si>
    <t>Fachverband Gas Wärme</t>
  </si>
  <si>
    <t>Zahlenspiegel 2019: Gas und Fernwärme in Österreich</t>
  </si>
  <si>
    <t>VREG</t>
  </si>
  <si>
    <t>Warmtenetrpport 2019</t>
  </si>
  <si>
    <t>National statistical institute</t>
  </si>
  <si>
    <t>District heating systems and efficiency of district heating for 2018 year</t>
  </si>
  <si>
    <t>Croatian Energy Regulatory Agency</t>
  </si>
  <si>
    <t>Annual Report 2018</t>
  </si>
  <si>
    <t>Ministry of Environment and Energy</t>
  </si>
  <si>
    <t>Energy in Croatia: Annual Energy Report 2018</t>
  </si>
  <si>
    <t>Czecia</t>
  </si>
  <si>
    <t>ERO</t>
  </si>
  <si>
    <t>2018 Yearly Report on the Operation of Heat Supply Systems in the CR</t>
  </si>
  <si>
    <t>Ministerstvo průmyslu a obchodu ČR</t>
  </si>
  <si>
    <t>Vývoj hrubé výroby elektřiny a tepla k prodeji v energetické bilanci ČR</t>
  </si>
  <si>
    <t>Danish Energy Agency</t>
  </si>
  <si>
    <t>Energy Statistics 2018</t>
  </si>
  <si>
    <t>Statistics Estonia</t>
  </si>
  <si>
    <t>Energy Consumption and production, Annual Statistics</t>
  </si>
  <si>
    <t>Europe</t>
  </si>
  <si>
    <t>Euroheat &amp; Power</t>
  </si>
  <si>
    <t>Country by Country 2019</t>
  </si>
  <si>
    <t>Eurostat</t>
  </si>
  <si>
    <t>Combined Heat and Power (CHP) Data 2005-2018</t>
  </si>
  <si>
    <t>Complete energy balances</t>
  </si>
  <si>
    <t xml:space="preserve">European Commission </t>
  </si>
  <si>
    <t>Mapping and analyses of the current and future (2020 - 2030) heating/cooling fuel deployment (fossil/renewables)</t>
  </si>
  <si>
    <t>Werner Weiss, Monika Spörk-Dür</t>
  </si>
  <si>
    <t>Solar Heat Worldwide , Global Market Development and Trends in 2019, Detailed Market Data 2018</t>
  </si>
  <si>
    <t>Burkhard Sanner</t>
  </si>
  <si>
    <t>Summary of EGC 2019 Country Update Reports on Geothermal Energy in Europe</t>
  </si>
  <si>
    <t>Simon Pezzutto</t>
  </si>
  <si>
    <t>Database on District cooling in Europe 2018</t>
  </si>
  <si>
    <t>Andrei David et al.</t>
  </si>
  <si>
    <t>Heat Roadmap Europe: Large-Scale Electric Heat Pumps in District Heating Systems</t>
  </si>
  <si>
    <t>Finnish Energy</t>
  </si>
  <si>
    <t>District Heating in Finland 2018</t>
  </si>
  <si>
    <t>FEDENE, SNCU</t>
  </si>
  <si>
    <t>Enquête annuelle sur les réseaux de chaleur et de froid</t>
  </si>
  <si>
    <t>Minestere de la Transition Ecologique</t>
  </si>
  <si>
    <t>Données locales de consommation d’énergie</t>
  </si>
  <si>
    <t>AGFW</t>
  </si>
  <si>
    <t>Hauptbericht 2018</t>
  </si>
  <si>
    <t>Statistische Bundesamt</t>
  </si>
  <si>
    <t>Jahreserhebung über Erzeugung und Verwendung von Wärme sowie über den Betrieb von Wärmenetzen für das Jahr 2018</t>
  </si>
  <si>
    <t>Just Transition Development Plan (SDAM)</t>
  </si>
  <si>
    <t>Current situation and prospects for areas in energy transition in Greece</t>
  </si>
  <si>
    <t>MATÁSZSZ</t>
  </si>
  <si>
    <t>Data of the Hungarian District Heating Sector 2018</t>
  </si>
  <si>
    <t>Iceland</t>
  </si>
  <si>
    <t>Orkustofnun</t>
  </si>
  <si>
    <t>Final heat use in Iceland 2018 by District Heating Area (OS-2019-T007-01)</t>
  </si>
  <si>
    <t>Einar Gunnlaugsson</t>
  </si>
  <si>
    <t xml:space="preserve">Reykjavik energy - District heating in Reykjavik and electrical production using geothermal energy </t>
  </si>
  <si>
    <t xml:space="preserve">Installed Electrical Capacity and Electricity Generation of Geothermal Power Plants in Iceland 1969-2019 </t>
  </si>
  <si>
    <t>AIRU</t>
  </si>
  <si>
    <t>2019 District Heating Yearbook</t>
  </si>
  <si>
    <t>Central Statistical Bureau of Latvia</t>
  </si>
  <si>
    <t>Environment and Energy</t>
  </si>
  <si>
    <t>PricewaterhouseCoopers</t>
  </si>
  <si>
    <t>Comprehensive assessment of the potential for the application of high-efficiency cogeneration and efficient district heating and cooling, and cost-benefit analysis in accordance with the requirements of Directive 2012/27/EU</t>
  </si>
  <si>
    <t>VKEKK</t>
  </si>
  <si>
    <t>2018 METŲ VEIKLOS ATASKAITA</t>
  </si>
  <si>
    <t>Lithuanian District Heating Association</t>
  </si>
  <si>
    <t>Lithuanian District Heating Seactor</t>
  </si>
  <si>
    <t xml:space="preserve">Statistics Portal </t>
  </si>
  <si>
    <t>Final energy consumption according to the different uses and energy forms 2000 - 2018</t>
  </si>
  <si>
    <t>CBS TNO</t>
  </si>
  <si>
    <t>Warmtemonitor 2019</t>
  </si>
  <si>
    <t>Statistics Norway</t>
  </si>
  <si>
    <t>District Heating and Cooling</t>
  </si>
  <si>
    <t>Norsk Fjernvarme</t>
  </si>
  <si>
    <t>Fjernvarme - Energiekilder 2019</t>
  </si>
  <si>
    <t>Urząd Regulacji Energetyki</t>
  </si>
  <si>
    <t>ENERGETYKA CIEPLNA W LICZBACH − 2018</t>
  </si>
  <si>
    <t>Romania Energy Regulatory Agency</t>
  </si>
  <si>
    <t>Report on the status of the public service of thermal energy supply in centralized system for the year 2019</t>
  </si>
  <si>
    <t>Ministry of Energy</t>
  </si>
  <si>
    <t>Report on the assessment of the national potential to implement high-efficiency cogeneration and efficient district heating and cooling</t>
  </si>
  <si>
    <t xml:space="preserve">Regulatory office for network industries </t>
  </si>
  <si>
    <t>Agencija za energija</t>
  </si>
  <si>
    <t>The Energy Sector in Slovenia 2019</t>
  </si>
  <si>
    <t>ADHAC</t>
  </si>
  <si>
    <t>Censo de Redes de Calor y Frío 2019</t>
  </si>
  <si>
    <t>Sveriges Officiella Statistik</t>
  </si>
  <si>
    <t>Electricity supply, district heating and supply of natural gas 2018</t>
  </si>
  <si>
    <t>Ukraine</t>
  </si>
  <si>
    <t>NERC</t>
  </si>
  <si>
    <t xml:space="preserve">ЗВІТ про результати діяльності Національної комісії, що здійснює державне регулювання у сферах енергетики та комунальних послуг, у 2018 році </t>
  </si>
  <si>
    <t>The World Bank</t>
  </si>
  <si>
    <t>Setting the agenda for further district heating reform in Ukraine</t>
  </si>
  <si>
    <t>Ukrstat</t>
  </si>
  <si>
    <t xml:space="preserve">Energy Balance of Ukraine 2018 </t>
  </si>
  <si>
    <t>Energy Supply and Consumption in Ukraine 2019</t>
  </si>
  <si>
    <t>The Association for Decentralised Energy</t>
  </si>
  <si>
    <t>Market Report: Heat Networks in the UK</t>
  </si>
  <si>
    <t>Cogeneration share</t>
  </si>
  <si>
    <t xml:space="preserve">Non-renewable waste </t>
  </si>
  <si>
    <t xml:space="preserve">Biomass, biofuels and renewable waste </t>
  </si>
  <si>
    <t>Heat pumps incl. electricity</t>
  </si>
  <si>
    <t>Total Heat Production</t>
  </si>
  <si>
    <t>Total Renewable</t>
  </si>
  <si>
    <t xml:space="preserve">Total share of renewables in district heating supply </t>
  </si>
  <si>
    <t>Trench length (km)</t>
  </si>
  <si>
    <t>Figure 1: District heating fuel mix and cogeneration share in 2018</t>
  </si>
  <si>
    <t>Figure 2: EU-27 District heating fuel mix in 2018</t>
  </si>
  <si>
    <t xml:space="preserve">Figure 3: Total share of renewable heat in district heating supply mix and share of renewable fuels of the total renewable heat supply </t>
  </si>
  <si>
    <t> Country </t>
  </si>
  <si>
    <t xml:space="preserve">Figure 5: Served citizens per trench length in 2018 </t>
  </si>
  <si>
    <t xml:space="preserve">Figure 4: Trench length and district heating density in 2018 </t>
  </si>
  <si>
    <t>for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</si>
</sst>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 _€_-;\-* #,##0.00\ _€_-;_-* &quot;-&quot;??\ _€_-;_-@_-"/>
    <numFmt numFmtId="165" formatCode="_-* #,##0.0_-;\-* #,##0.0_-;_-* &quot;-&quot;??_-;_-@_-"/>
    <numFmt numFmtId="166" formatCode="_-* #,##0_-;\-* #,##0_-;_-* &quot;-&quot;??_-;_-@_-"/>
    <numFmt numFmtId="167" formatCode="_-* #,##0\ _€_-;\-* #,##0\ _€_-;_-* &quot;-&quot;??\ _€_-;_-@_-"/>
    <numFmt numFmtId="168" formatCode="0.0"/>
    <numFmt numFmtId="169" formatCode="0.0%"/>
    <numFmt numFmtId="170" formatCode="_ * #,##0.00_ ;_ * \-#,##0.00_ ;_ * &quot;-&quot;??_ ;_ @_ "/>
    <numFmt numFmtId="171" formatCode="#,##0.000"/>
  </numFmts>
  <fonts count="41">
    <font>
      <sz val="11"/>
      <color theme="1"/>
      <name val="Calibri"/>
      <family val="2"/>
      <scheme val="minor"/>
    </font>
    <font>
      <sz val="11"/>
      <color theme="1"/>
      <name val="Calibri"/>
      <family val="2"/>
      <scheme val="minor"/>
    </font>
    <font>
      <sz val="10"/>
      <color rgb="FFFFFFFF"/>
      <name val="Verdana"/>
      <family val="2"/>
    </font>
    <font>
      <sz val="10"/>
      <color rgb="FF000000"/>
      <name val="Verdana"/>
      <family val="2"/>
    </font>
    <font>
      <sz val="10"/>
      <color theme="1"/>
      <name val="Verdana"/>
      <family val="2"/>
    </font>
    <font>
      <b/>
      <sz val="10"/>
      <color rgb="FF000000"/>
      <name val="Verdana"/>
      <family val="2"/>
    </font>
    <font>
      <b/>
      <sz val="10"/>
      <color theme="1"/>
      <name val="Verdana"/>
      <family val="2"/>
    </font>
    <font>
      <sz val="9"/>
      <color rgb="FF000000"/>
      <name val="Verdana"/>
      <family val="2"/>
    </font>
    <font>
      <sz val="10"/>
      <color rgb="FFFF0000"/>
      <name val="Verdana"/>
      <family val="2"/>
    </font>
    <font>
      <b/>
      <sz val="14"/>
      <color theme="1"/>
      <name val="Calibri"/>
      <family val="2"/>
      <scheme val="minor"/>
    </font>
    <font>
      <sz val="8"/>
      <color theme="1"/>
      <name val="Times New Roman"/>
      <family val="1"/>
    </font>
    <font>
      <sz val="12"/>
      <color theme="1"/>
      <name val="Times New Roman"/>
      <family val="1"/>
    </font>
    <font>
      <u/>
      <sz val="11"/>
      <color theme="10"/>
      <name val="Calibri"/>
      <family val="2"/>
      <scheme val="minor"/>
    </font>
    <font>
      <sz val="11"/>
      <name val="Calibri"/>
      <family val="2"/>
      <scheme val="minor"/>
    </font>
    <font>
      <sz val="11"/>
      <color rgb="FFFF0000"/>
      <name val="Calibri"/>
      <family val="2"/>
      <scheme val="minor"/>
    </font>
    <font>
      <sz val="8"/>
      <color rgb="FFFFFFFF"/>
      <name val="Times New Roman"/>
      <family val="1"/>
    </font>
    <font>
      <sz val="12"/>
      <color rgb="FFFFFFFF"/>
      <name val="Times New Roman"/>
      <family val="1"/>
    </font>
    <font>
      <sz val="10"/>
      <color theme="0"/>
      <name val="Verdana"/>
      <family val="2"/>
    </font>
    <font>
      <sz val="8"/>
      <name val="Calibri"/>
      <family val="2"/>
      <scheme val="minor"/>
    </font>
    <font>
      <b/>
      <sz val="9"/>
      <color theme="1"/>
      <name val="Verdana"/>
      <family val="2"/>
    </font>
    <font>
      <sz val="8"/>
      <color theme="1"/>
      <name val="Verdana"/>
      <family val="2"/>
    </font>
    <font>
      <sz val="14"/>
      <color theme="1"/>
      <name val="Verdana"/>
      <family val="2"/>
    </font>
    <font>
      <sz val="11"/>
      <color theme="1"/>
      <name val="Verdana"/>
      <family val="2"/>
    </font>
    <font>
      <sz val="12"/>
      <color theme="1"/>
      <name val="Verdana"/>
      <family val="2"/>
    </font>
    <font>
      <b/>
      <sz val="11"/>
      <color theme="1"/>
      <name val="Calibri"/>
      <family val="2"/>
      <scheme val="minor"/>
    </font>
    <font>
      <sz val="10"/>
      <name val="Verdana"/>
      <family val="2"/>
    </font>
    <font>
      <sz val="12"/>
      <color theme="1"/>
      <name val="Calibri"/>
      <family val="2"/>
      <scheme val="minor"/>
    </font>
    <font>
      <sz val="10"/>
      <name val="Arial"/>
      <family val="2"/>
    </font>
    <font>
      <sz val="10"/>
      <color theme="1"/>
      <name val="Arial"/>
      <family val="2"/>
    </font>
    <font>
      <b/>
      <vertAlign val="superscript"/>
      <sz val="9"/>
      <name val="Arial"/>
      <family val="2"/>
    </font>
    <font>
      <sz val="10"/>
      <color theme="0" tint="-0.34998626667073579"/>
      <name val="Arial"/>
      <family val="2"/>
    </font>
    <font>
      <sz val="9"/>
      <color theme="1"/>
      <name val="Arial"/>
      <family val="2"/>
    </font>
    <font>
      <sz val="8"/>
      <name val="Times New Roman"/>
      <family val="1"/>
    </font>
    <font>
      <sz val="11"/>
      <color theme="1"/>
      <name val="Calibri"/>
      <family val="2"/>
    </font>
    <font>
      <b/>
      <sz val="8"/>
      <color indexed="8"/>
      <name val="Arial"/>
      <family val="2"/>
    </font>
    <font>
      <b/>
      <vertAlign val="superscript"/>
      <sz val="8"/>
      <color indexed="8"/>
      <name val="Arial"/>
      <family val="2"/>
    </font>
    <font>
      <b/>
      <sz val="8"/>
      <color theme="1"/>
      <name val="Arial"/>
      <family val="2"/>
    </font>
    <font>
      <sz val="8"/>
      <color theme="0"/>
      <name val="Times New Roman"/>
      <family val="1"/>
    </font>
    <font>
      <vertAlign val="superscript"/>
      <sz val="10"/>
      <color rgb="FF000000"/>
      <name val="Verdana"/>
      <family val="2"/>
    </font>
    <font>
      <b/>
      <sz val="10"/>
      <name val="Verdana"/>
      <family val="2"/>
    </font>
    <font>
      <b/>
      <sz val="11"/>
      <color theme="1"/>
      <name val="Tahoma"/>
      <family val="2"/>
    </font>
  </fonts>
  <fills count="8">
    <fill>
      <patternFill patternType="none"/>
    </fill>
    <fill>
      <patternFill patternType="gray125"/>
    </fill>
    <fill>
      <patternFill patternType="solid">
        <fgColor rgb="FF002395"/>
        <bgColor indexed="64"/>
      </patternFill>
    </fill>
    <fill>
      <patternFill patternType="solid">
        <fgColor rgb="FFF2F2F2"/>
        <bgColor indexed="64"/>
      </patternFill>
    </fill>
    <fill>
      <patternFill patternType="solid">
        <fgColor rgb="FFFFFFFF"/>
        <bgColor indexed="64"/>
      </patternFill>
    </fill>
    <fill>
      <patternFill patternType="solid">
        <fgColor theme="0"/>
        <bgColor indexed="64"/>
      </patternFill>
    </fill>
    <fill>
      <patternFill patternType="solid">
        <fgColor rgb="FF002395"/>
        <bgColor rgb="FF000000"/>
      </patternFill>
    </fill>
    <fill>
      <patternFill patternType="solid">
        <fgColor rgb="FFF2F2F2"/>
        <bgColor rgb="FF000000"/>
      </patternFill>
    </fill>
  </fills>
  <borders count="5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thin">
        <color indexed="64"/>
      </right>
      <top style="medium">
        <color indexed="64"/>
      </top>
      <bottom style="thin">
        <color theme="0"/>
      </bottom>
      <diagonal/>
    </border>
    <border>
      <left style="thin">
        <color indexed="64"/>
      </left>
      <right style="thin">
        <color theme="0"/>
      </right>
      <top style="medium">
        <color indexed="64"/>
      </top>
      <bottom style="thin">
        <color theme="0"/>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theme="0"/>
      </left>
      <right style="medium">
        <color indexed="64"/>
      </right>
      <top style="medium">
        <color indexed="64"/>
      </top>
      <bottom/>
      <diagonal/>
    </border>
    <border>
      <left style="medium">
        <color indexed="64"/>
      </left>
      <right/>
      <top/>
      <bottom style="thin">
        <color indexed="64"/>
      </bottom>
      <diagonal/>
    </border>
    <border>
      <left/>
      <right style="medium">
        <color indexed="64"/>
      </right>
      <top style="thin">
        <color theme="0"/>
      </top>
      <bottom style="thin">
        <color theme="0"/>
      </bottom>
      <diagonal/>
    </border>
    <border>
      <left style="medium">
        <color indexed="64"/>
      </left>
      <right style="medium">
        <color rgb="FFFFFFFF"/>
      </right>
      <top/>
      <bottom style="medium">
        <color rgb="FFFFFFFF"/>
      </bottom>
      <diagonal/>
    </border>
    <border>
      <left/>
      <right style="medium">
        <color indexed="64"/>
      </right>
      <top/>
      <bottom style="medium">
        <color rgb="FFFFFFFF"/>
      </bottom>
      <diagonal/>
    </border>
    <border>
      <left style="medium">
        <color rgb="FFFFFFFF"/>
      </left>
      <right style="medium">
        <color indexed="64"/>
      </right>
      <top/>
      <bottom style="medium">
        <color rgb="FFFFFFFF"/>
      </bottom>
      <diagonal/>
    </border>
    <border>
      <left style="medium">
        <color indexed="64"/>
      </left>
      <right style="medium">
        <color rgb="FFFFFFFF"/>
      </right>
      <top/>
      <bottom style="medium">
        <color indexed="64"/>
      </bottom>
      <diagonal/>
    </border>
    <border>
      <left style="medium">
        <color rgb="FFFFFFFF"/>
      </left>
      <right style="medium">
        <color rgb="FFFFFFFF"/>
      </right>
      <top/>
      <bottom style="medium">
        <color indexed="64"/>
      </bottom>
      <diagonal/>
    </border>
    <border>
      <left/>
      <right style="medium">
        <color indexed="64"/>
      </right>
      <top/>
      <bottom style="medium">
        <color indexed="64"/>
      </bottom>
      <diagonal/>
    </border>
    <border>
      <left style="medium">
        <color indexed="64"/>
      </left>
      <right style="medium">
        <color rgb="FFFFFFFF"/>
      </right>
      <top style="medium">
        <color indexed="64"/>
      </top>
      <bottom style="medium">
        <color rgb="FFFFFFFF"/>
      </bottom>
      <diagonal/>
    </border>
    <border>
      <left/>
      <right style="medium">
        <color rgb="FFFFFFFF"/>
      </right>
      <top style="medium">
        <color indexed="64"/>
      </top>
      <bottom style="medium">
        <color rgb="FFFFFFFF"/>
      </bottom>
      <diagonal/>
    </border>
    <border>
      <left/>
      <right style="medium">
        <color indexed="64"/>
      </right>
      <top style="medium">
        <color indexed="64"/>
      </top>
      <bottom style="medium">
        <color rgb="FFFFFFFF"/>
      </bottom>
      <diagonal/>
    </border>
    <border>
      <left/>
      <right style="medium">
        <color rgb="FFFFFFFF"/>
      </right>
      <top/>
      <bottom style="medium">
        <color indexed="64"/>
      </bottom>
      <diagonal/>
    </border>
    <border>
      <left style="medium">
        <color indexed="64"/>
      </left>
      <right style="medium">
        <color rgb="FFFFFFFF"/>
      </right>
      <top style="medium">
        <color indexed="64"/>
      </top>
      <bottom/>
      <diagonal/>
    </border>
    <border>
      <left/>
      <right style="medium">
        <color rgb="FFFFFFFF"/>
      </right>
      <top style="medium">
        <color indexed="64"/>
      </top>
      <bottom/>
      <diagonal/>
    </border>
    <border>
      <left style="medium">
        <color indexed="64"/>
      </left>
      <right style="medium">
        <color rgb="FFFFFFFF"/>
      </right>
      <top/>
      <bottom/>
      <diagonal/>
    </border>
    <border>
      <left style="medium">
        <color rgb="FFFFFFFF"/>
      </left>
      <right style="medium">
        <color indexed="64"/>
      </right>
      <top/>
      <bottom style="medium">
        <color indexed="64"/>
      </bottom>
      <diagonal/>
    </border>
    <border>
      <left/>
      <right style="medium">
        <color indexed="64"/>
      </right>
      <top style="medium">
        <color rgb="FFFFFFFF"/>
      </top>
      <bottom style="medium">
        <color rgb="FFFFFFFF"/>
      </bottom>
      <diagonal/>
    </border>
    <border>
      <left style="medium">
        <color rgb="FFFFFFFF"/>
      </left>
      <right style="medium">
        <color rgb="FFFFFFFF"/>
      </right>
      <top style="medium">
        <color indexed="64"/>
      </top>
      <bottom style="medium">
        <color rgb="FFFFFFFF"/>
      </bottom>
      <diagonal/>
    </border>
    <border>
      <left style="medium">
        <color rgb="FFFFFFFF"/>
      </left>
      <right style="medium">
        <color indexed="64"/>
      </right>
      <top style="medium">
        <color indexed="64"/>
      </top>
      <bottom style="medium">
        <color rgb="FFFFFFFF"/>
      </bottom>
      <diagonal/>
    </border>
    <border>
      <left style="medium">
        <color indexed="64"/>
      </left>
      <right/>
      <top style="medium">
        <color indexed="64"/>
      </top>
      <bottom/>
      <diagonal/>
    </border>
    <border>
      <left style="medium">
        <color rgb="FFFFFFFF"/>
      </left>
      <right/>
      <top style="medium">
        <color indexed="64"/>
      </top>
      <bottom/>
      <diagonal/>
    </border>
    <border>
      <left style="medium">
        <color rgb="FFFFFFFF"/>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FFFFFF"/>
      </right>
      <top style="medium">
        <color rgb="FFFFFFFF"/>
      </top>
      <bottom/>
      <diagonal/>
    </border>
    <border>
      <left style="medium">
        <color indexed="64"/>
      </left>
      <right/>
      <top style="medium">
        <color rgb="FFFFFFFF"/>
      </top>
      <bottom style="medium">
        <color indexed="64"/>
      </bottom>
      <diagonal/>
    </border>
    <border>
      <left/>
      <right style="medium">
        <color rgb="FFFFFFFF"/>
      </right>
      <top style="medium">
        <color rgb="FFFFFFFF"/>
      </top>
      <bottom style="medium">
        <color indexed="64"/>
      </bottom>
      <diagonal/>
    </border>
  </borders>
  <cellStyleXfs count="26">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43" fontId="1" fillId="0" borderId="0" applyFont="0" applyFill="0" applyBorder="0" applyAlignment="0" applyProtection="0"/>
    <xf numFmtId="0" fontId="26" fillId="0" borderId="0"/>
    <xf numFmtId="164" fontId="1" fillId="0" borderId="0" applyFont="0" applyFill="0" applyBorder="0" applyAlignment="0" applyProtection="0"/>
    <xf numFmtId="9" fontId="26"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0" fontId="27" fillId="0" borderId="0" applyFont="0" applyFill="0" applyBorder="0" applyAlignment="0" applyProtection="0"/>
    <xf numFmtId="43" fontId="28" fillId="0" borderId="0" applyFont="0" applyFill="0" applyBorder="0" applyAlignment="0" applyProtection="0"/>
    <xf numFmtId="0" fontId="28" fillId="0" borderId="0"/>
    <xf numFmtId="0" fontId="27" fillId="0" borderId="0"/>
    <xf numFmtId="0" fontId="1" fillId="0" borderId="0"/>
    <xf numFmtId="0" fontId="27" fillId="0" borderId="0"/>
    <xf numFmtId="9" fontId="27" fillId="0" borderId="0" applyFont="0" applyFill="0" applyBorder="0" applyAlignment="0" applyProtection="0"/>
    <xf numFmtId="9" fontId="28" fillId="0" borderId="0" applyFont="0" applyFill="0" applyBorder="0" applyAlignment="0" applyProtection="0"/>
    <xf numFmtId="0" fontId="27" fillId="0" borderId="0"/>
    <xf numFmtId="0" fontId="28" fillId="0" borderId="0"/>
    <xf numFmtId="0" fontId="1" fillId="0" borderId="0"/>
    <xf numFmtId="0" fontId="1" fillId="0" borderId="0"/>
    <xf numFmtId="43" fontId="1" fillId="0" borderId="0" applyFont="0" applyFill="0" applyBorder="0" applyAlignment="0" applyProtection="0"/>
    <xf numFmtId="0" fontId="28" fillId="0" borderId="0"/>
    <xf numFmtId="164" fontId="28" fillId="0" borderId="0" applyFont="0" applyFill="0" applyBorder="0" applyAlignment="0" applyProtection="0"/>
    <xf numFmtId="164" fontId="28" fillId="0" borderId="0" applyFont="0" applyFill="0" applyBorder="0" applyAlignment="0" applyProtection="0"/>
  </cellStyleXfs>
  <cellXfs count="238">
    <xf numFmtId="0" fontId="0" fillId="0" borderId="0" xfId="0"/>
    <xf numFmtId="0" fontId="3" fillId="3" borderId="2" xfId="0" applyFont="1" applyFill="1" applyBorder="1" applyAlignment="1">
      <alignment horizontal="left" vertical="center" wrapText="1"/>
    </xf>
    <xf numFmtId="3" fontId="3" fillId="3" borderId="3" xfId="0" applyNumberFormat="1" applyFont="1" applyFill="1" applyBorder="1" applyAlignment="1">
      <alignment horizontal="right" vertical="center" wrapText="1"/>
    </xf>
    <xf numFmtId="3" fontId="3" fillId="3" borderId="3" xfId="0" applyNumberFormat="1" applyFont="1" applyFill="1" applyBorder="1" applyAlignment="1">
      <alignment horizontal="center" vertical="center" wrapText="1"/>
    </xf>
    <xf numFmtId="0" fontId="3" fillId="3" borderId="3" xfId="0" applyFont="1" applyFill="1" applyBorder="1" applyAlignment="1">
      <alignment horizontal="right" vertical="center" wrapText="1"/>
    </xf>
    <xf numFmtId="0" fontId="4" fillId="3" borderId="3" xfId="0" applyFont="1" applyFill="1" applyBorder="1" applyAlignment="1">
      <alignment horizontal="right" vertical="center" wrapText="1"/>
    </xf>
    <xf numFmtId="0" fontId="5" fillId="3" borderId="2" xfId="0" applyFont="1" applyFill="1" applyBorder="1" applyAlignment="1">
      <alignment horizontal="left" vertical="center" wrapText="1"/>
    </xf>
    <xf numFmtId="3" fontId="5" fillId="3" borderId="3" xfId="0" applyNumberFormat="1" applyFont="1" applyFill="1" applyBorder="1" applyAlignment="1">
      <alignment horizontal="right" vertical="center" wrapText="1"/>
    </xf>
    <xf numFmtId="165" fontId="3" fillId="3" borderId="3" xfId="1" applyNumberFormat="1" applyFont="1" applyFill="1" applyBorder="1" applyAlignment="1">
      <alignment horizontal="right" vertical="center" wrapText="1"/>
    </xf>
    <xf numFmtId="165" fontId="5" fillId="3" borderId="3" xfId="1" applyNumberFormat="1" applyFont="1" applyFill="1" applyBorder="1" applyAlignment="1">
      <alignment horizontal="right" vertical="center" wrapText="1"/>
    </xf>
    <xf numFmtId="165" fontId="4" fillId="3" borderId="3" xfId="1" applyNumberFormat="1" applyFont="1" applyFill="1" applyBorder="1" applyAlignment="1">
      <alignment horizontal="right" vertical="center" wrapText="1"/>
    </xf>
    <xf numFmtId="0" fontId="9" fillId="0" borderId="0" xfId="0" applyFont="1"/>
    <xf numFmtId="166" fontId="3" fillId="3" borderId="2" xfId="1" applyNumberFormat="1" applyFont="1" applyFill="1" applyBorder="1" applyAlignment="1">
      <alignment horizontal="left" vertical="center" wrapText="1"/>
    </xf>
    <xf numFmtId="166" fontId="4" fillId="3" borderId="3" xfId="1" applyNumberFormat="1" applyFont="1" applyFill="1" applyBorder="1" applyAlignment="1">
      <alignment horizontal="right" vertical="center" wrapText="1"/>
    </xf>
    <xf numFmtId="0" fontId="17" fillId="2" borderId="1" xfId="0" applyFont="1" applyFill="1" applyBorder="1" applyAlignment="1">
      <alignment horizontal="left" vertical="center" wrapText="1"/>
    </xf>
    <xf numFmtId="9" fontId="3" fillId="3" borderId="2" xfId="2" applyFont="1" applyFill="1" applyBorder="1" applyAlignment="1">
      <alignment horizontal="right" vertical="center" wrapText="1"/>
    </xf>
    <xf numFmtId="167" fontId="4" fillId="3" borderId="3" xfId="0" applyNumberFormat="1" applyFont="1" applyFill="1" applyBorder="1" applyAlignment="1">
      <alignment horizontal="right" vertical="center" wrapText="1"/>
    </xf>
    <xf numFmtId="166" fontId="3" fillId="3" borderId="3" xfId="1" applyNumberFormat="1" applyFont="1" applyFill="1" applyBorder="1" applyAlignment="1">
      <alignment horizontal="right" vertical="center" wrapText="1"/>
    </xf>
    <xf numFmtId="166" fontId="3" fillId="3" borderId="2" xfId="1" applyNumberFormat="1" applyFont="1" applyFill="1" applyBorder="1" applyAlignment="1">
      <alignment horizontal="right" vertical="center" wrapText="1"/>
    </xf>
    <xf numFmtId="0" fontId="0" fillId="5" borderId="0" xfId="0" applyFill="1"/>
    <xf numFmtId="0" fontId="0" fillId="5" borderId="7" xfId="0"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22" fillId="5" borderId="10" xfId="0" applyFont="1" applyFill="1" applyBorder="1"/>
    <xf numFmtId="0" fontId="22" fillId="5" borderId="0" xfId="0" applyFont="1" applyFill="1"/>
    <xf numFmtId="0" fontId="22" fillId="5" borderId="11" xfId="0" applyFont="1" applyFill="1" applyBorder="1"/>
    <xf numFmtId="0" fontId="23" fillId="5" borderId="10" xfId="0" applyFont="1" applyFill="1" applyBorder="1"/>
    <xf numFmtId="0" fontId="23" fillId="5" borderId="0" xfId="0" applyFont="1" applyFill="1"/>
    <xf numFmtId="0" fontId="23" fillId="5" borderId="11" xfId="0" applyFont="1" applyFill="1" applyBorder="1"/>
    <xf numFmtId="0" fontId="4" fillId="5" borderId="0" xfId="0" applyFont="1" applyFill="1"/>
    <xf numFmtId="0" fontId="6" fillId="5" borderId="0" xfId="0" applyFont="1" applyFill="1" applyAlignment="1">
      <alignment horizontal="left"/>
    </xf>
    <xf numFmtId="0" fontId="4" fillId="5" borderId="0" xfId="0" applyFont="1" applyFill="1" applyAlignment="1">
      <alignment horizontal="left"/>
    </xf>
    <xf numFmtId="0" fontId="0" fillId="5" borderId="0" xfId="0" applyFill="1" applyAlignment="1">
      <alignment horizontal="left"/>
    </xf>
    <xf numFmtId="14" fontId="4" fillId="5" borderId="0" xfId="0" applyNumberFormat="1" applyFont="1" applyFill="1" applyAlignment="1">
      <alignment horizontal="left"/>
    </xf>
    <xf numFmtId="0" fontId="4" fillId="5" borderId="0" xfId="0" applyFont="1" applyFill="1" applyAlignment="1">
      <alignment vertical="center" wrapText="1"/>
    </xf>
    <xf numFmtId="0" fontId="4" fillId="5" borderId="11" xfId="0" applyFont="1" applyFill="1" applyBorder="1" applyAlignment="1">
      <alignment vertical="center" wrapText="1"/>
    </xf>
    <xf numFmtId="0" fontId="19" fillId="5" borderId="10" xfId="0" applyFont="1" applyFill="1" applyBorder="1" applyAlignment="1">
      <alignment horizontal="left" vertical="center"/>
    </xf>
    <xf numFmtId="0" fontId="20" fillId="5" borderId="10" xfId="0" applyFont="1" applyFill="1" applyBorder="1" applyAlignment="1">
      <alignment vertical="center" wrapText="1"/>
    </xf>
    <xf numFmtId="0" fontId="20" fillId="5" borderId="0" xfId="0" applyFont="1" applyFill="1" applyAlignment="1">
      <alignment vertical="center" wrapText="1"/>
    </xf>
    <xf numFmtId="0" fontId="20" fillId="5" borderId="11" xfId="0" applyFont="1" applyFill="1" applyBorder="1" applyAlignment="1">
      <alignment vertical="center" wrapText="1"/>
    </xf>
    <xf numFmtId="0" fontId="20" fillId="5" borderId="10" xfId="0" applyFont="1" applyFill="1" applyBorder="1" applyAlignment="1">
      <alignment horizontal="left" vertical="center"/>
    </xf>
    <xf numFmtId="0" fontId="12" fillId="5" borderId="0" xfId="3" applyFill="1" applyBorder="1"/>
    <xf numFmtId="0" fontId="6" fillId="5" borderId="10" xfId="0" applyFont="1" applyFill="1" applyBorder="1" applyAlignment="1">
      <alignment horizontal="left" vertical="center"/>
    </xf>
    <xf numFmtId="0" fontId="0" fillId="5" borderId="12" xfId="0" applyFill="1" applyBorder="1"/>
    <xf numFmtId="0" fontId="0" fillId="5" borderId="13" xfId="0" applyFill="1" applyBorder="1"/>
    <xf numFmtId="0" fontId="0" fillId="5" borderId="14" xfId="0" applyFill="1" applyBorder="1"/>
    <xf numFmtId="4" fontId="30" fillId="5" borderId="0" xfId="23" applyNumberFormat="1" applyFont="1" applyFill="1"/>
    <xf numFmtId="0" fontId="30" fillId="5" borderId="0" xfId="23" applyFont="1" applyFill="1" applyAlignment="1">
      <alignment horizontal="left" vertical="center"/>
    </xf>
    <xf numFmtId="0" fontId="28" fillId="5" borderId="0" xfId="23" applyFill="1" applyAlignment="1">
      <alignment horizontal="left" vertical="center"/>
    </xf>
    <xf numFmtId="169" fontId="3" fillId="3" borderId="2" xfId="2" applyNumberFormat="1" applyFont="1" applyFill="1" applyBorder="1" applyAlignment="1">
      <alignment horizontal="right" vertical="center" wrapText="1"/>
    </xf>
    <xf numFmtId="0" fontId="25" fillId="3" borderId="2" xfId="0" applyFont="1" applyFill="1" applyBorder="1" applyAlignment="1">
      <alignment horizontal="left" vertical="center" wrapText="1"/>
    </xf>
    <xf numFmtId="166" fontId="5" fillId="3" borderId="3" xfId="1" applyNumberFormat="1" applyFont="1" applyFill="1" applyBorder="1" applyAlignment="1">
      <alignment horizontal="right" vertical="center" wrapText="1"/>
    </xf>
    <xf numFmtId="166" fontId="25" fillId="3" borderId="2" xfId="1" applyNumberFormat="1" applyFont="1" applyFill="1" applyBorder="1" applyAlignment="1">
      <alignment horizontal="left" vertical="center" wrapText="1"/>
    </xf>
    <xf numFmtId="0" fontId="3" fillId="5" borderId="2" xfId="0" applyFont="1" applyFill="1" applyBorder="1" applyAlignment="1">
      <alignment horizontal="left" vertical="center" wrapText="1"/>
    </xf>
    <xf numFmtId="9" fontId="0" fillId="5" borderId="0" xfId="2" applyFont="1" applyFill="1"/>
    <xf numFmtId="9" fontId="0" fillId="5" borderId="0" xfId="0" applyNumberFormat="1" applyFill="1"/>
    <xf numFmtId="0" fontId="14" fillId="5" borderId="0" xfId="0" applyFont="1" applyFill="1"/>
    <xf numFmtId="0" fontId="25"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1" fontId="0" fillId="5" borderId="0" xfId="0" applyNumberFormat="1" applyFill="1"/>
    <xf numFmtId="169" fontId="0" fillId="5" borderId="0" xfId="2" applyNumberFormat="1" applyFont="1" applyFill="1"/>
    <xf numFmtId="0" fontId="3" fillId="5" borderId="4"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25" fillId="5" borderId="5" xfId="0" applyFont="1" applyFill="1" applyBorder="1" applyAlignment="1">
      <alignment vertical="center" wrapText="1"/>
    </xf>
    <xf numFmtId="0" fontId="13" fillId="5" borderId="0" xfId="0" applyFont="1" applyFill="1"/>
    <xf numFmtId="0" fontId="25" fillId="5" borderId="4" xfId="0" applyFont="1" applyFill="1" applyBorder="1" applyAlignment="1">
      <alignment horizontal="left" vertical="center" wrapText="1"/>
    </xf>
    <xf numFmtId="4" fontId="31" fillId="5" borderId="0" xfId="24" applyNumberFormat="1" applyFont="1" applyFill="1" applyBorder="1" applyAlignment="1">
      <alignment horizontal="right"/>
    </xf>
    <xf numFmtId="0" fontId="34" fillId="5" borderId="0" xfId="23" applyFont="1" applyFill="1" applyAlignment="1">
      <alignment horizontal="left" vertical="center"/>
    </xf>
    <xf numFmtId="0" fontId="36" fillId="5" borderId="0" xfId="23" applyFont="1" applyFill="1" applyAlignment="1">
      <alignment horizontal="left" vertical="center"/>
    </xf>
    <xf numFmtId="1" fontId="3" fillId="3" borderId="2" xfId="0" applyNumberFormat="1" applyFont="1" applyFill="1" applyBorder="1" applyAlignment="1">
      <alignment horizontal="left" vertical="center" wrapText="1"/>
    </xf>
    <xf numFmtId="2" fontId="3" fillId="3" borderId="2" xfId="0" applyNumberFormat="1" applyFont="1" applyFill="1" applyBorder="1" applyAlignment="1">
      <alignment horizontal="left" vertical="center" wrapText="1"/>
    </xf>
    <xf numFmtId="0" fontId="2" fillId="2" borderId="15" xfId="0" applyFont="1" applyFill="1" applyBorder="1" applyAlignment="1">
      <alignment horizontal="left" vertical="center" wrapText="1"/>
    </xf>
    <xf numFmtId="0" fontId="2" fillId="2" borderId="15" xfId="0" applyFont="1" applyFill="1" applyBorder="1" applyAlignment="1">
      <alignment vertical="center" wrapText="1"/>
    </xf>
    <xf numFmtId="0" fontId="2" fillId="2" borderId="16" xfId="0" applyFont="1" applyFill="1" applyBorder="1" applyAlignment="1">
      <alignment vertical="center" wrapText="1"/>
    </xf>
    <xf numFmtId="0" fontId="2" fillId="2" borderId="17"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1" fontId="5" fillId="3" borderId="2" xfId="0" applyNumberFormat="1" applyFont="1" applyFill="1" applyBorder="1" applyAlignment="1">
      <alignment horizontal="left" vertical="center" wrapText="1"/>
    </xf>
    <xf numFmtId="168" fontId="3" fillId="3" borderId="2" xfId="0" applyNumberFormat="1" applyFont="1" applyFill="1" applyBorder="1" applyAlignment="1">
      <alignment horizontal="left" vertical="center" wrapText="1"/>
    </xf>
    <xf numFmtId="168" fontId="5" fillId="3" borderId="2" xfId="0" applyNumberFormat="1" applyFont="1" applyFill="1" applyBorder="1" applyAlignment="1">
      <alignment horizontal="left" vertical="center" wrapText="1"/>
    </xf>
    <xf numFmtId="169" fontId="3" fillId="3" borderId="3" xfId="0" applyNumberFormat="1" applyFont="1" applyFill="1" applyBorder="1" applyAlignment="1">
      <alignment horizontal="right" vertical="center" wrapText="1"/>
    </xf>
    <xf numFmtId="3" fontId="4" fillId="3" borderId="3" xfId="0" applyNumberFormat="1" applyFont="1" applyFill="1" applyBorder="1" applyAlignment="1">
      <alignment horizontal="right" vertical="center" wrapText="1"/>
    </xf>
    <xf numFmtId="169" fontId="4" fillId="3" borderId="3" xfId="0" applyNumberFormat="1" applyFont="1" applyFill="1" applyBorder="1" applyAlignment="1">
      <alignment horizontal="right" vertical="center" wrapText="1"/>
    </xf>
    <xf numFmtId="169" fontId="4" fillId="3" borderId="3" xfId="1" applyNumberFormat="1" applyFont="1" applyFill="1" applyBorder="1" applyAlignment="1">
      <alignment horizontal="right" vertical="center" wrapText="1"/>
    </xf>
    <xf numFmtId="169" fontId="5" fillId="3" borderId="3" xfId="0" applyNumberFormat="1" applyFont="1" applyFill="1" applyBorder="1" applyAlignment="1">
      <alignment horizontal="right" vertical="center" wrapText="1"/>
    </xf>
    <xf numFmtId="3" fontId="3" fillId="7" borderId="3" xfId="0" applyNumberFormat="1" applyFont="1" applyFill="1" applyBorder="1" applyAlignment="1">
      <alignment horizontal="right" vertical="center" wrapText="1"/>
    </xf>
    <xf numFmtId="169" fontId="3" fillId="7" borderId="3" xfId="2" applyNumberFormat="1" applyFont="1" applyFill="1" applyBorder="1" applyAlignment="1">
      <alignment horizontal="right" vertical="center" wrapText="1"/>
    </xf>
    <xf numFmtId="167" fontId="3" fillId="7" borderId="3" xfId="0" applyNumberFormat="1" applyFont="1" applyFill="1" applyBorder="1" applyAlignment="1">
      <alignment horizontal="right" vertical="center" wrapText="1"/>
    </xf>
    <xf numFmtId="0" fontId="3" fillId="7" borderId="3" xfId="0" applyFont="1" applyFill="1" applyBorder="1" applyAlignment="1">
      <alignment horizontal="right" vertical="center" wrapText="1"/>
    </xf>
    <xf numFmtId="3" fontId="5" fillId="7" borderId="3" xfId="0" applyNumberFormat="1" applyFont="1" applyFill="1" applyBorder="1" applyAlignment="1">
      <alignment horizontal="right" vertical="center" wrapText="1"/>
    </xf>
    <xf numFmtId="169" fontId="5" fillId="7" borderId="3" xfId="2" applyNumberFormat="1" applyFont="1" applyFill="1" applyBorder="1" applyAlignment="1">
      <alignment horizontal="right" vertical="center" wrapText="1"/>
    </xf>
    <xf numFmtId="3" fontId="3" fillId="7" borderId="3" xfId="0" applyNumberFormat="1" applyFont="1" applyFill="1" applyBorder="1" applyAlignment="1">
      <alignment horizontal="center" vertical="center" wrapText="1"/>
    </xf>
    <xf numFmtId="166" fontId="5" fillId="3" borderId="2" xfId="1" applyNumberFormat="1" applyFont="1" applyFill="1" applyBorder="1" applyAlignment="1">
      <alignment horizontal="left" vertical="center" wrapText="1"/>
    </xf>
    <xf numFmtId="0" fontId="4" fillId="5" borderId="10" xfId="0" applyFont="1" applyFill="1" applyBorder="1"/>
    <xf numFmtId="0" fontId="40" fillId="5" borderId="0" xfId="0" applyFont="1" applyFill="1"/>
    <xf numFmtId="0" fontId="25" fillId="5" borderId="0" xfId="0" applyFont="1" applyFill="1" applyAlignment="1">
      <alignment horizontal="left" vertical="center" wrapText="1"/>
    </xf>
    <xf numFmtId="0" fontId="3" fillId="5" borderId="0" xfId="0" applyFont="1" applyFill="1" applyAlignment="1">
      <alignment horizontal="left" vertical="center" wrapText="1"/>
    </xf>
    <xf numFmtId="1" fontId="3" fillId="5" borderId="0" xfId="0" applyNumberFormat="1" applyFont="1" applyFill="1" applyAlignment="1">
      <alignment horizontal="left" vertical="center" wrapText="1"/>
    </xf>
    <xf numFmtId="9" fontId="0" fillId="5" borderId="0" xfId="2" applyFont="1" applyFill="1" applyBorder="1"/>
    <xf numFmtId="9" fontId="3" fillId="5" borderId="0" xfId="2" applyFont="1" applyFill="1" applyBorder="1" applyAlignment="1">
      <alignment horizontal="left" vertical="center" wrapText="1"/>
    </xf>
    <xf numFmtId="0" fontId="5" fillId="5" borderId="0" xfId="0" applyFont="1" applyFill="1" applyAlignment="1">
      <alignment horizontal="left" vertical="center" wrapText="1"/>
    </xf>
    <xf numFmtId="1" fontId="5" fillId="5" borderId="0" xfId="0" applyNumberFormat="1" applyFont="1" applyFill="1" applyAlignment="1">
      <alignment horizontal="left" vertical="center" wrapText="1"/>
    </xf>
    <xf numFmtId="169" fontId="0" fillId="5" borderId="0" xfId="2" applyNumberFormat="1" applyFont="1" applyFill="1" applyBorder="1"/>
    <xf numFmtId="43" fontId="13" fillId="5" borderId="0" xfId="1" applyFont="1" applyFill="1" applyBorder="1"/>
    <xf numFmtId="1" fontId="13" fillId="5" borderId="0" xfId="0" applyNumberFormat="1" applyFont="1" applyFill="1"/>
    <xf numFmtId="0" fontId="39" fillId="5" borderId="0" xfId="0" applyFont="1" applyFill="1" applyAlignment="1">
      <alignment horizontal="left" vertical="center" wrapText="1"/>
    </xf>
    <xf numFmtId="4" fontId="0" fillId="5" borderId="0" xfId="0" applyNumberFormat="1" applyFill="1"/>
    <xf numFmtId="166" fontId="0" fillId="5" borderId="0" xfId="1" applyNumberFormat="1" applyFont="1" applyFill="1"/>
    <xf numFmtId="0" fontId="2" fillId="5" borderId="5" xfId="0" applyFont="1" applyFill="1" applyBorder="1" applyAlignment="1">
      <alignment vertical="center" wrapText="1"/>
    </xf>
    <xf numFmtId="0" fontId="8" fillId="5" borderId="2" xfId="0" applyFont="1" applyFill="1" applyBorder="1" applyAlignment="1">
      <alignment horizontal="left" vertical="center" wrapText="1"/>
    </xf>
    <xf numFmtId="0" fontId="33" fillId="5" borderId="0" xfId="0" applyFont="1" applyFill="1"/>
    <xf numFmtId="166" fontId="33" fillId="5" borderId="0" xfId="1" applyNumberFormat="1" applyFont="1" applyFill="1"/>
    <xf numFmtId="0" fontId="9" fillId="5" borderId="0" xfId="0" applyFont="1" applyFill="1"/>
    <xf numFmtId="0" fontId="2" fillId="2" borderId="19"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2" fillId="2" borderId="26"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9" xfId="0" applyFont="1" applyFill="1" applyBorder="1" applyAlignment="1">
      <alignment vertical="center"/>
    </xf>
    <xf numFmtId="166" fontId="3" fillId="3" borderId="30" xfId="1" applyNumberFormat="1" applyFont="1" applyFill="1" applyBorder="1" applyAlignment="1">
      <alignment horizontal="left" vertical="center" wrapText="1"/>
    </xf>
    <xf numFmtId="0" fontId="25" fillId="3" borderId="28" xfId="0" applyFont="1" applyFill="1" applyBorder="1" applyAlignment="1">
      <alignment horizontal="left" vertical="center" wrapText="1"/>
    </xf>
    <xf numFmtId="0" fontId="8" fillId="3" borderId="28" xfId="0" applyFont="1" applyFill="1" applyBorder="1" applyAlignment="1">
      <alignment horizontal="left" vertical="center" wrapText="1"/>
    </xf>
    <xf numFmtId="0" fontId="3" fillId="3" borderId="29" xfId="0" applyFont="1" applyFill="1" applyBorder="1" applyAlignment="1">
      <alignment horizontal="right" vertical="center"/>
    </xf>
    <xf numFmtId="0" fontId="5" fillId="3" borderId="28" xfId="0" applyFont="1" applyFill="1" applyBorder="1" applyAlignment="1">
      <alignment horizontal="left" vertical="center" wrapText="1"/>
    </xf>
    <xf numFmtId="0" fontId="3" fillId="3" borderId="31" xfId="0" applyFont="1" applyFill="1" applyBorder="1" applyAlignment="1">
      <alignment horizontal="left" vertical="center" wrapText="1"/>
    </xf>
    <xf numFmtId="166" fontId="3" fillId="3" borderId="32" xfId="1" applyNumberFormat="1" applyFont="1" applyFill="1" applyBorder="1" applyAlignment="1">
      <alignment horizontal="left" vertical="center" wrapText="1"/>
    </xf>
    <xf numFmtId="0" fontId="3" fillId="3" borderId="33" xfId="0" applyFont="1" applyFill="1" applyBorder="1" applyAlignment="1">
      <alignment vertical="center"/>
    </xf>
    <xf numFmtId="0" fontId="11" fillId="5" borderId="0" xfId="0" applyFont="1" applyFill="1" applyAlignment="1">
      <alignment horizontal="justify" vertical="center"/>
    </xf>
    <xf numFmtId="0" fontId="10" fillId="2" borderId="34" xfId="0" applyFont="1" applyFill="1" applyBorder="1" applyAlignment="1">
      <alignment horizontal="left" vertical="center" wrapText="1"/>
    </xf>
    <xf numFmtId="0" fontId="2" fillId="2" borderId="35" xfId="0" applyFont="1" applyFill="1" applyBorder="1" applyAlignment="1">
      <alignment horizontal="left" vertical="center" wrapText="1"/>
    </xf>
    <xf numFmtId="0" fontId="2" fillId="2" borderId="36" xfId="0" applyFont="1" applyFill="1" applyBorder="1" applyAlignment="1">
      <alignment horizontal="left" vertical="center" wrapText="1"/>
    </xf>
    <xf numFmtId="166" fontId="3" fillId="3" borderId="29" xfId="1" applyNumberFormat="1" applyFont="1" applyFill="1" applyBorder="1" applyAlignment="1">
      <alignment horizontal="right" vertical="center" wrapText="1"/>
    </xf>
    <xf numFmtId="166" fontId="5" fillId="3" borderId="29" xfId="1" applyNumberFormat="1" applyFont="1" applyFill="1" applyBorder="1" applyAlignment="1">
      <alignment horizontal="right" vertical="center" wrapText="1"/>
    </xf>
    <xf numFmtId="166" fontId="3" fillId="3" borderId="37" xfId="1" applyNumberFormat="1" applyFont="1" applyFill="1" applyBorder="1" applyAlignment="1">
      <alignment horizontal="right" vertical="center" wrapText="1"/>
    </xf>
    <xf numFmtId="166" fontId="3" fillId="3" borderId="33" xfId="1" applyNumberFormat="1" applyFont="1" applyFill="1" applyBorder="1" applyAlignment="1">
      <alignment horizontal="right" vertical="center" wrapText="1"/>
    </xf>
    <xf numFmtId="0" fontId="2" fillId="2" borderId="39" xfId="0" applyFont="1" applyFill="1" applyBorder="1" applyAlignment="1">
      <alignment horizontal="left" vertical="center" wrapText="1"/>
    </xf>
    <xf numFmtId="0" fontId="17" fillId="2" borderId="39" xfId="0" applyFont="1" applyFill="1" applyBorder="1" applyAlignment="1">
      <alignment horizontal="left" vertical="center" wrapText="1"/>
    </xf>
    <xf numFmtId="0" fontId="3" fillId="3" borderId="30" xfId="0" applyFont="1" applyFill="1" applyBorder="1" applyAlignment="1">
      <alignment horizontal="left" vertical="center" wrapText="1"/>
    </xf>
    <xf numFmtId="2" fontId="3" fillId="3" borderId="30" xfId="0" applyNumberFormat="1" applyFont="1" applyFill="1" applyBorder="1" applyAlignment="1">
      <alignment horizontal="left" vertical="center" wrapText="1"/>
    </xf>
    <xf numFmtId="0" fontId="3" fillId="3" borderId="32" xfId="0" applyFont="1" applyFill="1" applyBorder="1" applyAlignment="1">
      <alignment horizontal="left" vertical="center" wrapText="1"/>
    </xf>
    <xf numFmtId="0" fontId="3" fillId="3" borderId="41" xfId="0" applyFont="1" applyFill="1" applyBorder="1" applyAlignment="1">
      <alignment horizontal="left" vertical="center" wrapText="1"/>
    </xf>
    <xf numFmtId="0" fontId="2" fillId="2" borderId="34" xfId="0" applyFont="1" applyFill="1" applyBorder="1" applyAlignment="1">
      <alignment horizontal="left" vertical="center" wrapText="1"/>
    </xf>
    <xf numFmtId="0" fontId="3" fillId="3" borderId="29" xfId="0" applyFont="1" applyFill="1" applyBorder="1" applyAlignment="1">
      <alignment horizontal="right" vertical="center" wrapText="1"/>
    </xf>
    <xf numFmtId="0" fontId="4" fillId="3" borderId="37" xfId="0" applyFont="1" applyFill="1" applyBorder="1" applyAlignment="1">
      <alignment horizontal="right" vertical="center" wrapText="1"/>
    </xf>
    <xf numFmtId="0" fontId="3" fillId="3" borderId="33" xfId="0" applyFont="1" applyFill="1" applyBorder="1" applyAlignment="1">
      <alignment horizontal="right" vertical="center" wrapText="1"/>
    </xf>
    <xf numFmtId="43" fontId="0" fillId="5" borderId="0" xfId="1" applyFont="1" applyFill="1" applyBorder="1"/>
    <xf numFmtId="167" fontId="0" fillId="5" borderId="0" xfId="0" applyNumberFormat="1" applyFill="1"/>
    <xf numFmtId="43" fontId="0" fillId="5" borderId="0" xfId="1" applyFont="1" applyFill="1"/>
    <xf numFmtId="3" fontId="0" fillId="5" borderId="0" xfId="0" applyNumberFormat="1" applyFill="1"/>
    <xf numFmtId="0" fontId="12" fillId="5" borderId="0" xfId="3" applyFill="1"/>
    <xf numFmtId="0" fontId="4" fillId="5" borderId="0" xfId="0" applyFont="1" applyFill="1" applyAlignment="1">
      <alignment horizontal="justify" vertical="center"/>
    </xf>
    <xf numFmtId="169" fontId="3" fillId="3" borderId="29" xfId="0" applyNumberFormat="1" applyFont="1" applyFill="1" applyBorder="1" applyAlignment="1">
      <alignment horizontal="right" vertical="center" wrapText="1"/>
    </xf>
    <xf numFmtId="169" fontId="4" fillId="3" borderId="29" xfId="0" applyNumberFormat="1" applyFont="1" applyFill="1" applyBorder="1" applyAlignment="1">
      <alignment horizontal="right" vertical="center" wrapText="1"/>
    </xf>
    <xf numFmtId="169" fontId="4" fillId="3" borderId="42" xfId="0" applyNumberFormat="1" applyFont="1" applyFill="1" applyBorder="1" applyAlignment="1">
      <alignment vertical="center" wrapText="1"/>
    </xf>
    <xf numFmtId="169" fontId="6" fillId="3" borderId="29" xfId="0" applyNumberFormat="1" applyFont="1" applyFill="1" applyBorder="1" applyAlignment="1">
      <alignment horizontal="right" vertical="center" wrapText="1"/>
    </xf>
    <xf numFmtId="3" fontId="3" fillId="3" borderId="37" xfId="0" applyNumberFormat="1" applyFont="1" applyFill="1" applyBorder="1" applyAlignment="1">
      <alignment horizontal="right" vertical="center" wrapText="1"/>
    </xf>
    <xf numFmtId="169" fontId="3" fillId="3" borderId="37" xfId="0" applyNumberFormat="1" applyFont="1" applyFill="1" applyBorder="1" applyAlignment="1">
      <alignment horizontal="right" vertical="center" wrapText="1"/>
    </xf>
    <xf numFmtId="169" fontId="3" fillId="3" borderId="33" xfId="0" applyNumberFormat="1" applyFont="1" applyFill="1" applyBorder="1" applyAlignment="1">
      <alignment horizontal="right" vertical="center" wrapText="1"/>
    </xf>
    <xf numFmtId="0" fontId="4" fillId="3" borderId="29" xfId="0" applyFont="1" applyFill="1" applyBorder="1" applyAlignment="1">
      <alignment horizontal="right" vertical="center" wrapText="1"/>
    </xf>
    <xf numFmtId="3" fontId="3" fillId="3" borderId="29" xfId="0" applyNumberFormat="1" applyFont="1" applyFill="1" applyBorder="1" applyAlignment="1">
      <alignment horizontal="right" vertical="center" wrapText="1"/>
    </xf>
    <xf numFmtId="0" fontId="4" fillId="3" borderId="42" xfId="0" applyFont="1" applyFill="1" applyBorder="1" applyAlignment="1">
      <alignment vertical="center" wrapText="1"/>
    </xf>
    <xf numFmtId="0" fontId="6" fillId="3" borderId="29" xfId="0" applyFont="1" applyFill="1" applyBorder="1" applyAlignment="1">
      <alignment horizontal="right" vertical="center" wrapText="1"/>
    </xf>
    <xf numFmtId="0" fontId="2" fillId="6" borderId="34" xfId="0" applyFont="1" applyFill="1" applyBorder="1" applyAlignment="1">
      <alignment horizontal="left" vertical="center" wrapText="1"/>
    </xf>
    <xf numFmtId="0" fontId="2" fillId="6" borderId="35" xfId="0" applyFont="1" applyFill="1" applyBorder="1" applyAlignment="1">
      <alignment horizontal="left" vertical="center" wrapText="1"/>
    </xf>
    <xf numFmtId="0" fontId="2" fillId="6" borderId="36" xfId="0" applyFont="1" applyFill="1" applyBorder="1" applyAlignment="1">
      <alignment horizontal="left" vertical="center" wrapText="1"/>
    </xf>
    <xf numFmtId="0" fontId="3" fillId="7" borderId="28" xfId="0" applyFont="1" applyFill="1" applyBorder="1" applyAlignment="1">
      <alignment horizontal="left" vertical="center" wrapText="1"/>
    </xf>
    <xf numFmtId="169" fontId="3" fillId="7" borderId="29" xfId="2" applyNumberFormat="1" applyFont="1" applyFill="1" applyBorder="1" applyAlignment="1">
      <alignment horizontal="right" vertical="center" wrapText="1"/>
    </xf>
    <xf numFmtId="0" fontId="25" fillId="7" borderId="28" xfId="0" applyFont="1" applyFill="1" applyBorder="1" applyAlignment="1">
      <alignment horizontal="left" vertical="center" wrapText="1"/>
    </xf>
    <xf numFmtId="0" fontId="5" fillId="7" borderId="28" xfId="0" applyFont="1" applyFill="1" applyBorder="1" applyAlignment="1">
      <alignment horizontal="left" vertical="center" wrapText="1"/>
    </xf>
    <xf numFmtId="0" fontId="3" fillId="7" borderId="31" xfId="0" applyFont="1" applyFill="1" applyBorder="1" applyAlignment="1">
      <alignment horizontal="left" vertical="center" wrapText="1"/>
    </xf>
    <xf numFmtId="3" fontId="3" fillId="7" borderId="37" xfId="0" applyNumberFormat="1" applyFont="1" applyFill="1" applyBorder="1" applyAlignment="1">
      <alignment horizontal="center" vertical="center" wrapText="1"/>
    </xf>
    <xf numFmtId="3" fontId="3" fillId="7" borderId="37" xfId="0" applyNumberFormat="1" applyFont="1" applyFill="1" applyBorder="1" applyAlignment="1">
      <alignment horizontal="right" vertical="center" wrapText="1"/>
    </xf>
    <xf numFmtId="169" fontId="3" fillId="7" borderId="33" xfId="2" applyNumberFormat="1" applyFont="1" applyFill="1" applyBorder="1" applyAlignment="1">
      <alignment horizontal="right" vertical="center" wrapText="1"/>
    </xf>
    <xf numFmtId="169" fontId="5" fillId="7" borderId="29" xfId="2" applyNumberFormat="1" applyFont="1" applyFill="1" applyBorder="1" applyAlignment="1">
      <alignment horizontal="right" vertical="center" wrapText="1"/>
    </xf>
    <xf numFmtId="169" fontId="3" fillId="7" borderId="37" xfId="2" applyNumberFormat="1" applyFont="1" applyFill="1" applyBorder="1" applyAlignment="1">
      <alignment horizontal="right" vertical="center" wrapText="1"/>
    </xf>
    <xf numFmtId="166" fontId="0" fillId="5" borderId="0" xfId="0" applyNumberFormat="1" applyFill="1"/>
    <xf numFmtId="0" fontId="20" fillId="5" borderId="0" xfId="0" applyFont="1" applyFill="1"/>
    <xf numFmtId="0" fontId="0" fillId="5" borderId="0" xfId="0" applyFill="1" applyAlignment="1">
      <alignment horizontal="right"/>
    </xf>
    <xf numFmtId="0" fontId="4" fillId="2" borderId="34" xfId="0" applyFont="1" applyFill="1" applyBorder="1" applyAlignment="1">
      <alignment horizontal="left" vertical="center" wrapText="1"/>
    </xf>
    <xf numFmtId="0" fontId="17" fillId="2" borderId="43" xfId="0" applyFont="1" applyFill="1" applyBorder="1" applyAlignment="1">
      <alignment horizontal="left" vertical="center" wrapText="1"/>
    </xf>
    <xf numFmtId="0" fontId="17" fillId="2" borderId="44" xfId="0" applyFont="1" applyFill="1" applyBorder="1" applyAlignment="1">
      <alignment horizontal="left" vertical="center" wrapText="1"/>
    </xf>
    <xf numFmtId="166" fontId="3" fillId="3" borderId="30" xfId="1" applyNumberFormat="1" applyFont="1" applyFill="1" applyBorder="1" applyAlignment="1">
      <alignment horizontal="right" vertical="center" wrapText="1"/>
    </xf>
    <xf numFmtId="43" fontId="3" fillId="3" borderId="30" xfId="1" applyFont="1" applyFill="1" applyBorder="1" applyAlignment="1">
      <alignment horizontal="right" vertical="center" wrapText="1"/>
    </xf>
    <xf numFmtId="9" fontId="3" fillId="3" borderId="30" xfId="2" applyFont="1" applyFill="1" applyBorder="1" applyAlignment="1">
      <alignment horizontal="right" vertical="center" wrapText="1"/>
    </xf>
    <xf numFmtId="9" fontId="3" fillId="3" borderId="32" xfId="2" applyFont="1" applyFill="1" applyBorder="1" applyAlignment="1">
      <alignment horizontal="right" vertical="center" wrapText="1"/>
    </xf>
    <xf numFmtId="166" fontId="3" fillId="3" borderId="32" xfId="1" applyNumberFormat="1" applyFont="1" applyFill="1" applyBorder="1" applyAlignment="1">
      <alignment horizontal="right" vertical="center" wrapText="1"/>
    </xf>
    <xf numFmtId="166" fontId="3" fillId="3" borderId="41" xfId="1" applyNumberFormat="1" applyFont="1" applyFill="1" applyBorder="1" applyAlignment="1">
      <alignment horizontal="right" vertical="center" wrapText="1"/>
    </xf>
    <xf numFmtId="0" fontId="17" fillId="2" borderId="45" xfId="0" applyFont="1" applyFill="1" applyBorder="1" applyAlignment="1">
      <alignment horizontal="left" vertical="center" wrapText="1"/>
    </xf>
    <xf numFmtId="0" fontId="17" fillId="2" borderId="46" xfId="0" applyFont="1" applyFill="1" applyBorder="1" applyAlignment="1">
      <alignment horizontal="left" vertical="center" wrapText="1"/>
    </xf>
    <xf numFmtId="0" fontId="17" fillId="2" borderId="47" xfId="0" applyFont="1" applyFill="1" applyBorder="1" applyAlignment="1">
      <alignment horizontal="left" vertical="center" wrapText="1"/>
    </xf>
    <xf numFmtId="166" fontId="0" fillId="0" borderId="48" xfId="1" applyNumberFormat="1" applyFont="1" applyBorder="1"/>
    <xf numFmtId="2" fontId="0" fillId="0" borderId="0" xfId="0" applyNumberFormat="1"/>
    <xf numFmtId="166" fontId="0" fillId="0" borderId="0" xfId="0" applyNumberFormat="1"/>
    <xf numFmtId="166" fontId="0" fillId="0" borderId="49" xfId="0" applyNumberFormat="1" applyBorder="1"/>
    <xf numFmtId="166" fontId="0" fillId="0" borderId="50" xfId="1" applyNumberFormat="1" applyFont="1" applyBorder="1"/>
    <xf numFmtId="2" fontId="0" fillId="0" borderId="51" xfId="0" applyNumberFormat="1" applyBorder="1"/>
    <xf numFmtId="166" fontId="0" fillId="0" borderId="51" xfId="0" applyNumberFormat="1" applyBorder="1"/>
    <xf numFmtId="166" fontId="0" fillId="0" borderId="33" xfId="0" applyNumberFormat="1" applyBorder="1"/>
    <xf numFmtId="0" fontId="17" fillId="2" borderId="34" xfId="0" applyFont="1" applyFill="1" applyBorder="1" applyAlignment="1">
      <alignment horizontal="left" vertical="center" wrapText="1"/>
    </xf>
    <xf numFmtId="0" fontId="5" fillId="3" borderId="30" xfId="0" applyFont="1" applyFill="1" applyBorder="1" applyAlignment="1">
      <alignment horizontal="left" vertical="center" wrapText="1"/>
    </xf>
    <xf numFmtId="168" fontId="3" fillId="3" borderId="32" xfId="0" applyNumberFormat="1" applyFont="1" applyFill="1" applyBorder="1" applyAlignment="1">
      <alignment horizontal="left" vertical="center" wrapText="1"/>
    </xf>
    <xf numFmtId="1" fontId="3" fillId="3" borderId="32" xfId="0" applyNumberFormat="1" applyFont="1" applyFill="1" applyBorder="1" applyAlignment="1">
      <alignment horizontal="left" vertical="center" wrapText="1"/>
    </xf>
    <xf numFmtId="0" fontId="39" fillId="5" borderId="0" xfId="0" applyFont="1" applyFill="1" applyAlignment="1">
      <alignment horizontal="left" vertical="center"/>
    </xf>
    <xf numFmtId="0" fontId="25" fillId="5" borderId="0" xfId="0" applyFont="1" applyFill="1" applyAlignment="1">
      <alignment horizontal="left" vertical="center"/>
    </xf>
    <xf numFmtId="168" fontId="0" fillId="5" borderId="0" xfId="0" applyNumberFormat="1" applyFill="1"/>
    <xf numFmtId="0" fontId="24" fillId="0" borderId="0" xfId="0" applyFont="1"/>
    <xf numFmtId="0" fontId="0" fillId="0" borderId="0" xfId="0" applyAlignment="1">
      <alignment wrapText="1"/>
    </xf>
    <xf numFmtId="43" fontId="0" fillId="5" borderId="0" xfId="0" applyNumberFormat="1" applyFill="1"/>
    <xf numFmtId="171" fontId="0" fillId="5" borderId="0" xfId="0" applyNumberFormat="1" applyFill="1"/>
    <xf numFmtId="0" fontId="21" fillId="5" borderId="10" xfId="0" applyFont="1" applyFill="1" applyBorder="1" applyAlignment="1">
      <alignment horizontal="center" wrapText="1"/>
    </xf>
    <xf numFmtId="0" fontId="21" fillId="5" borderId="0" xfId="0" applyFont="1" applyFill="1" applyAlignment="1">
      <alignment horizontal="center" wrapText="1"/>
    </xf>
    <xf numFmtId="0" fontId="21" fillId="5" borderId="11" xfId="0" applyFont="1" applyFill="1" applyBorder="1" applyAlignment="1">
      <alignment horizontal="center" wrapText="1"/>
    </xf>
    <xf numFmtId="0" fontId="23" fillId="5" borderId="10" xfId="0" applyFont="1" applyFill="1" applyBorder="1" applyAlignment="1">
      <alignment horizontal="center"/>
    </xf>
    <xf numFmtId="0" fontId="23" fillId="5" borderId="0" xfId="0" applyFont="1" applyFill="1" applyAlignment="1">
      <alignment horizontal="center"/>
    </xf>
    <xf numFmtId="0" fontId="23" fillId="5" borderId="11" xfId="0" applyFont="1" applyFill="1" applyBorder="1" applyAlignment="1">
      <alignment horizontal="center"/>
    </xf>
    <xf numFmtId="0" fontId="4" fillId="5" borderId="10" xfId="0" applyFont="1" applyFill="1" applyBorder="1" applyAlignment="1">
      <alignment horizontal="left" vertical="center" wrapText="1"/>
    </xf>
    <xf numFmtId="0" fontId="4" fillId="5" borderId="0" xfId="0" applyFont="1" applyFill="1" applyAlignment="1">
      <alignment horizontal="left" vertical="center" wrapText="1"/>
    </xf>
    <xf numFmtId="0" fontId="4" fillId="5" borderId="11" xfId="0" applyFont="1" applyFill="1" applyBorder="1" applyAlignment="1">
      <alignment horizontal="left" vertical="center" wrapText="1"/>
    </xf>
    <xf numFmtId="0" fontId="7" fillId="4" borderId="5"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3" xfId="0" applyFont="1" applyFill="1" applyBorder="1" applyAlignment="1">
      <alignment horizontal="left" vertical="center" wrapText="1"/>
    </xf>
    <xf numFmtId="0" fontId="2"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11" fillId="5" borderId="0" xfId="0" applyFont="1" applyFill="1" applyAlignment="1">
      <alignment horizontal="left" vertical="top" wrapText="1"/>
    </xf>
    <xf numFmtId="0" fontId="20" fillId="5" borderId="0" xfId="0" applyFont="1" applyFill="1" applyAlignment="1">
      <alignment horizontal="left"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17" fillId="2" borderId="53" xfId="0" applyFont="1" applyFill="1" applyBorder="1" applyAlignment="1">
      <alignment horizontal="center" vertical="center" wrapText="1"/>
    </xf>
    <xf numFmtId="0" fontId="17" fillId="2" borderId="54" xfId="0" applyFont="1" applyFill="1" applyBorder="1" applyAlignment="1">
      <alignment horizontal="center" vertical="center" wrapText="1"/>
    </xf>
    <xf numFmtId="0" fontId="17" fillId="2" borderId="52" xfId="0" applyFont="1" applyFill="1" applyBorder="1" applyAlignment="1">
      <alignment horizontal="center" vertical="center" wrapText="1"/>
    </xf>
    <xf numFmtId="0" fontId="17" fillId="2" borderId="40" xfId="0" applyFont="1" applyFill="1" applyBorder="1" applyAlignment="1">
      <alignment horizontal="center" vertical="center" wrapText="1"/>
    </xf>
    <xf numFmtId="0" fontId="17" fillId="2" borderId="28" xfId="0" applyFont="1" applyFill="1" applyBorder="1" applyAlignment="1">
      <alignment horizontal="center" vertical="center" wrapText="1"/>
    </xf>
  </cellXfs>
  <cellStyles count="26">
    <cellStyle name="Comma" xfId="1" builtinId="3"/>
    <cellStyle name="Comma 2" xfId="8" xr:uid="{1011203D-EE35-4C8A-B85D-001D69A79A2B}"/>
    <cellStyle name="Comma 2 2" xfId="9" xr:uid="{D588EA67-EFA2-4620-9E99-907AD16CCDAF}"/>
    <cellStyle name="Comma 2 3" xfId="25" xr:uid="{1E0EB111-AB4B-42A8-9A39-556693D3F97D}"/>
    <cellStyle name="Hyperlink" xfId="3" builtinId="8"/>
    <cellStyle name="Komma 2" xfId="10" xr:uid="{440F33DA-1D1D-48F8-A032-BD57C3704E1C}"/>
    <cellStyle name="Komma 2 2" xfId="24" xr:uid="{B202793E-9CC5-41EE-8CB3-0547102EC32A}"/>
    <cellStyle name="Komma 3" xfId="11" xr:uid="{A1BAD836-5404-43BE-9A7A-FF93F13EECF4}"/>
    <cellStyle name="Komma 4" xfId="6" xr:uid="{9B16F7AB-98E0-427D-80A2-4464A470FE4A}"/>
    <cellStyle name="Komma 5" xfId="22" xr:uid="{DF45FCB8-0749-4041-AF75-C0E639CB5C89}"/>
    <cellStyle name="Komma 6" xfId="4" xr:uid="{D3825594-B1B4-4F77-87FE-3F5CA21B2FA2}"/>
    <cellStyle name="Normal" xfId="0" builtinId="0"/>
    <cellStyle name="Normal 2" xfId="12" xr:uid="{D7CEE17F-F02E-47F8-A1BC-80DD6E556854}"/>
    <cellStyle name="Normal 2 2" xfId="13" xr:uid="{9392F05B-5C7F-4672-86E9-96041A2B9806}"/>
    <cellStyle name="Normal 3" xfId="14" xr:uid="{F225EB90-9D0F-4C3B-A496-2A0F711F61A0}"/>
    <cellStyle name="Normal 4" xfId="15" xr:uid="{6ECC9495-9485-400F-BC73-863E97F6B4C2}"/>
    <cellStyle name="Percent" xfId="2" builtinId="5"/>
    <cellStyle name="Percent 2" xfId="16" xr:uid="{DEADAD43-8B36-46C1-801A-764BD5AAA233}"/>
    <cellStyle name="Prozent 2" xfId="17" xr:uid="{9D3BB0C7-3655-4DCF-80AA-44B5099404BE}"/>
    <cellStyle name="Prozent 3" xfId="7" xr:uid="{A9C4ABC1-C69F-4156-92BB-C9B76DC99C47}"/>
    <cellStyle name="Standard 2" xfId="18" xr:uid="{FA4C5198-35DD-4660-BA51-20BA4AEE4E7C}"/>
    <cellStyle name="Standard 2 2" xfId="23" xr:uid="{00204977-C2E7-40E5-B75D-0ABA5186F8F7}"/>
    <cellStyle name="Standard 3" xfId="19" xr:uid="{F1B0A0C1-87EC-40DB-BDD5-DB9BD7DB0430}"/>
    <cellStyle name="Standard 4" xfId="20" xr:uid="{BD06F07F-927D-4B37-B540-87B0197A55CA}"/>
    <cellStyle name="Standard 4 2" xfId="21" xr:uid="{8B79DD70-023D-41B4-B22A-32381330E4A5}"/>
    <cellStyle name="Standard 5" xfId="5" xr:uid="{1E65C388-E439-4F3C-AFF9-F783CCDE72F2}"/>
  </cellStyles>
  <dxfs count="2">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786388888888887E-2"/>
          <c:y val="0.10363558201058201"/>
          <c:w val="0.60077319444444444"/>
          <c:h val="0.65106128747795411"/>
        </c:manualLayout>
      </c:layout>
      <c:barChart>
        <c:barDir val="col"/>
        <c:grouping val="percentStacked"/>
        <c:varyColors val="0"/>
        <c:ser>
          <c:idx val="0"/>
          <c:order val="0"/>
          <c:tx>
            <c:strRef>
              <c:f>'Figure 1-2'!$E$1</c:f>
              <c:strCache>
                <c:ptCount val="1"/>
                <c:pt idx="0">
                  <c:v>Gas</c:v>
                </c:pt>
              </c:strCache>
            </c:strRef>
          </c:tx>
          <c:spPr>
            <a:solidFill>
              <a:schemeClr val="accent1"/>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1-2'!$E$2:$E$28</c:f>
              <c:numCache>
                <c:formatCode>0%</c:formatCode>
                <c:ptCount val="27"/>
                <c:pt idx="0">
                  <c:v>0.36</c:v>
                </c:pt>
                <c:pt idx="1">
                  <c:v>0.65353387461732992</c:v>
                </c:pt>
                <c:pt idx="2">
                  <c:v>0.85586682907023959</c:v>
                </c:pt>
                <c:pt idx="3">
                  <c:v>0.25</c:v>
                </c:pt>
                <c:pt idx="4">
                  <c:v>0.15152705416762391</c:v>
                </c:pt>
                <c:pt idx="5">
                  <c:v>0.41962108422434813</c:v>
                </c:pt>
                <c:pt idx="6">
                  <c:v>0.125</c:v>
                </c:pt>
                <c:pt idx="7">
                  <c:v>0.37985654512851164</c:v>
                </c:pt>
                <c:pt idx="8">
                  <c:v>0.39278291119392644</c:v>
                </c:pt>
                <c:pt idx="9">
                  <c:v>0</c:v>
                </c:pt>
                <c:pt idx="10">
                  <c:v>0.68302695100943422</c:v>
                </c:pt>
                <c:pt idx="11">
                  <c:v>0.70299999999999996</c:v>
                </c:pt>
                <c:pt idx="12">
                  <c:v>0.52558816395828278</c:v>
                </c:pt>
                <c:pt idx="13">
                  <c:v>0.36099999999999999</c:v>
                </c:pt>
                <c:pt idx="14">
                  <c:v>0.68478260869565222</c:v>
                </c:pt>
                <c:pt idx="15">
                  <c:v>8.5999999999999993E-2</c:v>
                </c:pt>
                <c:pt idx="16">
                  <c:v>0.80179999999999996</c:v>
                </c:pt>
                <c:pt idx="17">
                  <c:v>0.56807419100236778</c:v>
                </c:pt>
                <c:pt idx="18">
                  <c:v>0.30099999999999999</c:v>
                </c:pt>
                <c:pt idx="19">
                  <c:v>2.4899999999999995E-2</c:v>
                </c:pt>
                <c:pt idx="21" formatCode="0.0%">
                  <c:v>0.30391939097186338</c:v>
                </c:pt>
                <c:pt idx="23">
                  <c:v>0.88</c:v>
                </c:pt>
                <c:pt idx="24">
                  <c:v>0</c:v>
                </c:pt>
                <c:pt idx="25">
                  <c:v>4.9428483163422923E-2</c:v>
                </c:pt>
                <c:pt idx="26">
                  <c:v>0.75</c:v>
                </c:pt>
              </c:numCache>
            </c:numRef>
          </c:val>
          <c:extLst>
            <c:ext xmlns:c16="http://schemas.microsoft.com/office/drawing/2014/chart" uri="{C3380CC4-5D6E-409C-BE32-E72D297353CC}">
              <c16:uniqueId val="{00000000-49CB-49B9-9DF8-58B1C534EB1A}"/>
            </c:ext>
          </c:extLst>
        </c:ser>
        <c:ser>
          <c:idx val="1"/>
          <c:order val="1"/>
          <c:tx>
            <c:strRef>
              <c:f>'Figure 1-2'!$F$1</c:f>
              <c:strCache>
                <c:ptCount val="1"/>
                <c:pt idx="0">
                  <c:v>Oil</c:v>
                </c:pt>
              </c:strCache>
            </c:strRef>
          </c:tx>
          <c:spPr>
            <a:solidFill>
              <a:schemeClr val="accent2"/>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1-2'!$F$2:$F$28</c:f>
              <c:numCache>
                <c:formatCode>0%</c:formatCode>
                <c:ptCount val="27"/>
                <c:pt idx="0">
                  <c:v>0.05</c:v>
                </c:pt>
                <c:pt idx="1">
                  <c:v>0</c:v>
                </c:pt>
                <c:pt idx="2">
                  <c:v>0.13844904587900933</c:v>
                </c:pt>
                <c:pt idx="3">
                  <c:v>0</c:v>
                </c:pt>
                <c:pt idx="4">
                  <c:v>9.5603002971845277E-3</c:v>
                </c:pt>
                <c:pt idx="5">
                  <c:v>8.2911273682235984E-2</c:v>
                </c:pt>
                <c:pt idx="6">
                  <c:v>2.5000000000000001E-2</c:v>
                </c:pt>
                <c:pt idx="7">
                  <c:v>6.7842199641362823E-3</c:v>
                </c:pt>
                <c:pt idx="8">
                  <c:v>1.0552877427635849E-2</c:v>
                </c:pt>
                <c:pt idx="9">
                  <c:v>0</c:v>
                </c:pt>
                <c:pt idx="10">
                  <c:v>1.7330903654782955E-3</c:v>
                </c:pt>
                <c:pt idx="11">
                  <c:v>0.01</c:v>
                </c:pt>
                <c:pt idx="12">
                  <c:v>4.1717196216347315E-3</c:v>
                </c:pt>
                <c:pt idx="13">
                  <c:v>0.03</c:v>
                </c:pt>
                <c:pt idx="14">
                  <c:v>0</c:v>
                </c:pt>
                <c:pt idx="15">
                  <c:v>4.7500000000000001E-2</c:v>
                </c:pt>
                <c:pt idx="16">
                  <c:v>4.4999999999999997E-3</c:v>
                </c:pt>
                <c:pt idx="17">
                  <c:v>9.8332017890028933E-2</c:v>
                </c:pt>
                <c:pt idx="18">
                  <c:v>1.2999999999999999E-2</c:v>
                </c:pt>
                <c:pt idx="19">
                  <c:v>3.2000000000000001E-2</c:v>
                </c:pt>
                <c:pt idx="21" formatCode="0.0%">
                  <c:v>2.3649736428970593E-2</c:v>
                </c:pt>
                <c:pt idx="23">
                  <c:v>0</c:v>
                </c:pt>
                <c:pt idx="24">
                  <c:v>2.3984583456863325E-2</c:v>
                </c:pt>
                <c:pt idx="25">
                  <c:v>8.4491813407476055E-3</c:v>
                </c:pt>
                <c:pt idx="26">
                  <c:v>7.0000000000000007E-2</c:v>
                </c:pt>
              </c:numCache>
            </c:numRef>
          </c:val>
          <c:extLst>
            <c:ext xmlns:c16="http://schemas.microsoft.com/office/drawing/2014/chart" uri="{C3380CC4-5D6E-409C-BE32-E72D297353CC}">
              <c16:uniqueId val="{00000001-49CB-49B9-9DF8-58B1C534EB1A}"/>
            </c:ext>
          </c:extLst>
        </c:ser>
        <c:ser>
          <c:idx val="2"/>
          <c:order val="2"/>
          <c:tx>
            <c:strRef>
              <c:f>'Figure 1-2'!$G$1</c:f>
              <c:strCache>
                <c:ptCount val="1"/>
                <c:pt idx="0">
                  <c:v>Coal and peat</c:v>
                </c:pt>
              </c:strCache>
            </c:strRef>
          </c:tx>
          <c:spPr>
            <a:solidFill>
              <a:schemeClr val="accent3"/>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1-2'!$G$2:$G$28</c:f>
              <c:numCache>
                <c:formatCode>0%</c:formatCode>
                <c:ptCount val="27"/>
                <c:pt idx="0">
                  <c:v>0.05</c:v>
                </c:pt>
                <c:pt idx="1">
                  <c:v>3.0613603087980834E-2</c:v>
                </c:pt>
                <c:pt idx="2">
                  <c:v>0</c:v>
                </c:pt>
                <c:pt idx="3">
                  <c:v>0.59</c:v>
                </c:pt>
                <c:pt idx="4">
                  <c:v>0.12234961054745687</c:v>
                </c:pt>
                <c:pt idx="5">
                  <c:v>3.5828174826486585E-2</c:v>
                </c:pt>
                <c:pt idx="6">
                  <c:v>0.34699999999999998</c:v>
                </c:pt>
                <c:pt idx="7">
                  <c:v>4.5756126718469813E-2</c:v>
                </c:pt>
                <c:pt idx="8">
                  <c:v>0.26578373529561916</c:v>
                </c:pt>
                <c:pt idx="9">
                  <c:v>1</c:v>
                </c:pt>
                <c:pt idx="10">
                  <c:v>1.5920721772436395E-2</c:v>
                </c:pt>
                <c:pt idx="11">
                  <c:v>2.5000000000000001E-2</c:v>
                </c:pt>
                <c:pt idx="12">
                  <c:v>3.3349502789231144E-3</c:v>
                </c:pt>
                <c:pt idx="13">
                  <c:v>0</c:v>
                </c:pt>
                <c:pt idx="14">
                  <c:v>0</c:v>
                </c:pt>
                <c:pt idx="15">
                  <c:v>0.72499999999999998</c:v>
                </c:pt>
                <c:pt idx="16">
                  <c:v>0.17670000000000002</c:v>
                </c:pt>
                <c:pt idx="17">
                  <c:v>0.27002867666403579</c:v>
                </c:pt>
                <c:pt idx="18">
                  <c:v>0.49000000000000005</c:v>
                </c:pt>
                <c:pt idx="19">
                  <c:v>5.8999999999999997E-2</c:v>
                </c:pt>
                <c:pt idx="21" formatCode="0.0%">
                  <c:v>0.26710108410902655</c:v>
                </c:pt>
                <c:pt idx="23">
                  <c:v>0</c:v>
                </c:pt>
                <c:pt idx="24">
                  <c:v>0</c:v>
                </c:pt>
                <c:pt idx="25">
                  <c:v>0</c:v>
                </c:pt>
                <c:pt idx="26">
                  <c:v>0.1</c:v>
                </c:pt>
              </c:numCache>
            </c:numRef>
          </c:val>
          <c:extLst>
            <c:ext xmlns:c16="http://schemas.microsoft.com/office/drawing/2014/chart" uri="{C3380CC4-5D6E-409C-BE32-E72D297353CC}">
              <c16:uniqueId val="{00000002-49CB-49B9-9DF8-58B1C534EB1A}"/>
            </c:ext>
          </c:extLst>
        </c:ser>
        <c:ser>
          <c:idx val="3"/>
          <c:order val="3"/>
          <c:tx>
            <c:strRef>
              <c:f>'Figure 1-2'!$H$1</c:f>
              <c:strCache>
                <c:ptCount val="1"/>
                <c:pt idx="0">
                  <c:v>Non-renewable waste </c:v>
                </c:pt>
              </c:strCache>
            </c:strRef>
          </c:tx>
          <c:spPr>
            <a:solidFill>
              <a:schemeClr val="accent4"/>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1-2'!$H$2:$H$28</c:f>
              <c:numCache>
                <c:formatCode>0%</c:formatCode>
                <c:ptCount val="27"/>
                <c:pt idx="0">
                  <c:v>7.0000000000000007E-2</c:v>
                </c:pt>
                <c:pt idx="1">
                  <c:v>0</c:v>
                </c:pt>
                <c:pt idx="2">
                  <c:v>0</c:v>
                </c:pt>
                <c:pt idx="3">
                  <c:v>0</c:v>
                </c:pt>
                <c:pt idx="4">
                  <c:v>9.4098552615001524E-2</c:v>
                </c:pt>
                <c:pt idx="5">
                  <c:v>0</c:v>
                </c:pt>
                <c:pt idx="6">
                  <c:v>0</c:v>
                </c:pt>
                <c:pt idx="7">
                  <c:v>0</c:v>
                </c:pt>
                <c:pt idx="8">
                  <c:v>0.11565136851931535</c:v>
                </c:pt>
                <c:pt idx="9">
                  <c:v>0</c:v>
                </c:pt>
                <c:pt idx="10">
                  <c:v>7.5733829325159541E-2</c:v>
                </c:pt>
                <c:pt idx="11">
                  <c:v>0.14199999999999999</c:v>
                </c:pt>
                <c:pt idx="12">
                  <c:v>0</c:v>
                </c:pt>
                <c:pt idx="13">
                  <c:v>0</c:v>
                </c:pt>
                <c:pt idx="14">
                  <c:v>8.3333333333333343E-2</c:v>
                </c:pt>
                <c:pt idx="15">
                  <c:v>2.3999999999999998E-3</c:v>
                </c:pt>
                <c:pt idx="16">
                  <c:v>1.06E-2</c:v>
                </c:pt>
                <c:pt idx="17">
                  <c:v>0</c:v>
                </c:pt>
                <c:pt idx="18">
                  <c:v>0</c:v>
                </c:pt>
                <c:pt idx="19">
                  <c:v>0.23599999999999999</c:v>
                </c:pt>
                <c:pt idx="21" formatCode="0.0%">
                  <c:v>7.1925763705276452E-2</c:v>
                </c:pt>
                <c:pt idx="23">
                  <c:v>0</c:v>
                </c:pt>
                <c:pt idx="24">
                  <c:v>0</c:v>
                </c:pt>
                <c:pt idx="25">
                  <c:v>0.46336113685511277</c:v>
                </c:pt>
                <c:pt idx="26">
                  <c:v>0</c:v>
                </c:pt>
              </c:numCache>
            </c:numRef>
          </c:val>
          <c:extLst>
            <c:ext xmlns:c16="http://schemas.microsoft.com/office/drawing/2014/chart" uri="{C3380CC4-5D6E-409C-BE32-E72D297353CC}">
              <c16:uniqueId val="{00000003-49CB-49B9-9DF8-58B1C534EB1A}"/>
            </c:ext>
          </c:extLst>
        </c:ser>
        <c:ser>
          <c:idx val="4"/>
          <c:order val="4"/>
          <c:tx>
            <c:strRef>
              <c:f>'Figure 1-2'!$I$1</c:f>
              <c:strCache>
                <c:ptCount val="1"/>
                <c:pt idx="0">
                  <c:v>Biomass, biofuels and renewable waste </c:v>
                </c:pt>
              </c:strCache>
            </c:strRef>
          </c:tx>
          <c:spPr>
            <a:solidFill>
              <a:schemeClr val="accent5"/>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1-2'!$I$2:$I$28</c:f>
              <c:numCache>
                <c:formatCode>0%</c:formatCode>
                <c:ptCount val="27"/>
                <c:pt idx="0">
                  <c:v>0.47</c:v>
                </c:pt>
                <c:pt idx="1">
                  <c:v>0.30839877545587646</c:v>
                </c:pt>
                <c:pt idx="2">
                  <c:v>3.9951278928136418E-3</c:v>
                </c:pt>
                <c:pt idx="3">
                  <c:v>0.06</c:v>
                </c:pt>
                <c:pt idx="4">
                  <c:v>0.56606612170484616</c:v>
                </c:pt>
                <c:pt idx="5">
                  <c:v>0.45938848246107672</c:v>
                </c:pt>
                <c:pt idx="6">
                  <c:v>0.36399999999999999</c:v>
                </c:pt>
                <c:pt idx="7">
                  <c:v>0.48347280334728032</c:v>
                </c:pt>
                <c:pt idx="8">
                  <c:v>0.1915708253414917</c:v>
                </c:pt>
                <c:pt idx="9">
                  <c:v>0</c:v>
                </c:pt>
                <c:pt idx="10">
                  <c:v>0.15605317106639902</c:v>
                </c:pt>
                <c:pt idx="11">
                  <c:v>9.5999999999999988E-2</c:v>
                </c:pt>
                <c:pt idx="12">
                  <c:v>0.46665049721076884</c:v>
                </c:pt>
                <c:pt idx="13">
                  <c:v>0.61299999999999999</c:v>
                </c:pt>
                <c:pt idx="14">
                  <c:v>0.23188405797101452</c:v>
                </c:pt>
                <c:pt idx="15">
                  <c:v>9.4799999999999995E-2</c:v>
                </c:pt>
                <c:pt idx="16">
                  <c:v>6.4000000000000003E-3</c:v>
                </c:pt>
                <c:pt idx="17">
                  <c:v>9.3544461983688501E-2</c:v>
                </c:pt>
                <c:pt idx="18">
                  <c:v>0.17799999999999999</c:v>
                </c:pt>
                <c:pt idx="19">
                  <c:v>0.39400000000000002</c:v>
                </c:pt>
                <c:pt idx="21" formatCode="0.0%">
                  <c:v>0.26860039828652604</c:v>
                </c:pt>
                <c:pt idx="23">
                  <c:v>0.11</c:v>
                </c:pt>
                <c:pt idx="24">
                  <c:v>0</c:v>
                </c:pt>
                <c:pt idx="25">
                  <c:v>0.25908248378127896</c:v>
                </c:pt>
                <c:pt idx="26">
                  <c:v>0.08</c:v>
                </c:pt>
              </c:numCache>
            </c:numRef>
          </c:val>
          <c:extLst>
            <c:ext xmlns:c16="http://schemas.microsoft.com/office/drawing/2014/chart" uri="{C3380CC4-5D6E-409C-BE32-E72D297353CC}">
              <c16:uniqueId val="{00000004-49CB-49B9-9DF8-58B1C534EB1A}"/>
            </c:ext>
          </c:extLst>
        </c:ser>
        <c:ser>
          <c:idx val="5"/>
          <c:order val="5"/>
          <c:tx>
            <c:strRef>
              <c:f>'Figure 1-2'!$J$1</c:f>
              <c:strCache>
                <c:ptCount val="1"/>
                <c:pt idx="0">
                  <c:v>Geothermal</c:v>
                </c:pt>
              </c:strCache>
            </c:strRef>
          </c:tx>
          <c:spPr>
            <a:solidFill>
              <a:schemeClr val="accent6"/>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1-2'!$J$2:$J$28</c:f>
              <c:numCache>
                <c:formatCode>0%</c:formatCode>
                <c:ptCount val="27"/>
                <c:pt idx="0">
                  <c:v>0</c:v>
                </c:pt>
                <c:pt idx="1">
                  <c:v>0</c:v>
                </c:pt>
                <c:pt idx="2">
                  <c:v>1.7523345513601298E-3</c:v>
                </c:pt>
                <c:pt idx="3">
                  <c:v>0</c:v>
                </c:pt>
                <c:pt idx="4">
                  <c:v>4.076097025931388E-4</c:v>
                </c:pt>
                <c:pt idx="5">
                  <c:v>0</c:v>
                </c:pt>
                <c:pt idx="6">
                  <c:v>0</c:v>
                </c:pt>
                <c:pt idx="7">
                  <c:v>5.0209205020920501E-2</c:v>
                </c:pt>
                <c:pt idx="8">
                  <c:v>6.6511570241906664E-3</c:v>
                </c:pt>
                <c:pt idx="9">
                  <c:v>0</c:v>
                </c:pt>
                <c:pt idx="10">
                  <c:v>6.7482691837415815E-2</c:v>
                </c:pt>
                <c:pt idx="11">
                  <c:v>1.4E-2</c:v>
                </c:pt>
                <c:pt idx="12">
                  <c:v>0</c:v>
                </c:pt>
                <c:pt idx="13">
                  <c:v>0</c:v>
                </c:pt>
                <c:pt idx="14">
                  <c:v>0</c:v>
                </c:pt>
                <c:pt idx="15">
                  <c:v>0</c:v>
                </c:pt>
                <c:pt idx="16">
                  <c:v>0</c:v>
                </c:pt>
                <c:pt idx="17">
                  <c:v>0</c:v>
                </c:pt>
                <c:pt idx="18">
                  <c:v>7.0000000000000001E-3</c:v>
                </c:pt>
                <c:pt idx="19">
                  <c:v>0</c:v>
                </c:pt>
                <c:pt idx="21" formatCode="0.0%">
                  <c:v>6.6704293508986594E-3</c:v>
                </c:pt>
                <c:pt idx="23">
                  <c:v>0</c:v>
                </c:pt>
                <c:pt idx="24">
                  <c:v>0.87521494218796325</c:v>
                </c:pt>
                <c:pt idx="25">
                  <c:v>0</c:v>
                </c:pt>
                <c:pt idx="26">
                  <c:v>0</c:v>
                </c:pt>
              </c:numCache>
            </c:numRef>
          </c:val>
          <c:extLst>
            <c:ext xmlns:c16="http://schemas.microsoft.com/office/drawing/2014/chart" uri="{C3380CC4-5D6E-409C-BE32-E72D297353CC}">
              <c16:uniqueId val="{00000005-49CB-49B9-9DF8-58B1C534EB1A}"/>
            </c:ext>
          </c:extLst>
        </c:ser>
        <c:ser>
          <c:idx val="6"/>
          <c:order val="6"/>
          <c:tx>
            <c:strRef>
              <c:f>'Figure 1-2'!$K$1</c:f>
              <c:strCache>
                <c:ptCount val="1"/>
                <c:pt idx="0">
                  <c:v>Solar thermal </c:v>
                </c:pt>
              </c:strCache>
            </c:strRef>
          </c:tx>
          <c:spPr>
            <a:solidFill>
              <a:schemeClr val="accent1">
                <a:lumMod val="60000"/>
              </a:schemeClr>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1-2'!$K$2:$K$28</c:f>
              <c:numCache>
                <c:formatCode>0%</c:formatCode>
                <c:ptCount val="27"/>
                <c:pt idx="0">
                  <c:v>0</c:v>
                </c:pt>
                <c:pt idx="1">
                  <c:v>0</c:v>
                </c:pt>
                <c:pt idx="2">
                  <c:v>0</c:v>
                </c:pt>
                <c:pt idx="3">
                  <c:v>1.1293054771315642E-5</c:v>
                </c:pt>
                <c:pt idx="4">
                  <c:v>1.5815256460613783E-2</c:v>
                </c:pt>
                <c:pt idx="5">
                  <c:v>0</c:v>
                </c:pt>
                <c:pt idx="6">
                  <c:v>0</c:v>
                </c:pt>
                <c:pt idx="7">
                  <c:v>0</c:v>
                </c:pt>
                <c:pt idx="8">
                  <c:v>2.3337393067335673E-4</c:v>
                </c:pt>
                <c:pt idx="9">
                  <c:v>0</c:v>
                </c:pt>
                <c:pt idx="10">
                  <c:v>1.3423855256456429E-5</c:v>
                </c:pt>
                <c:pt idx="11">
                  <c:v>8.9039266316445553E-5</c:v>
                </c:pt>
                <c:pt idx="12">
                  <c:v>0</c:v>
                </c:pt>
                <c:pt idx="13">
                  <c:v>0</c:v>
                </c:pt>
                <c:pt idx="14">
                  <c:v>0</c:v>
                </c:pt>
                <c:pt idx="15">
                  <c:v>0</c:v>
                </c:pt>
                <c:pt idx="16">
                  <c:v>0</c:v>
                </c:pt>
                <c:pt idx="17">
                  <c:v>0</c:v>
                </c:pt>
                <c:pt idx="18">
                  <c:v>0</c:v>
                </c:pt>
                <c:pt idx="19">
                  <c:v>0</c:v>
                </c:pt>
                <c:pt idx="21" formatCode="0.0%">
                  <c:v>1.2204850118242335E-3</c:v>
                </c:pt>
                <c:pt idx="23">
                  <c:v>0</c:v>
                </c:pt>
                <c:pt idx="24">
                  <c:v>0</c:v>
                </c:pt>
                <c:pt idx="25">
                  <c:v>0</c:v>
                </c:pt>
                <c:pt idx="26">
                  <c:v>0</c:v>
                </c:pt>
              </c:numCache>
            </c:numRef>
          </c:val>
          <c:extLst>
            <c:ext xmlns:c16="http://schemas.microsoft.com/office/drawing/2014/chart" uri="{C3380CC4-5D6E-409C-BE32-E72D297353CC}">
              <c16:uniqueId val="{00000006-49CB-49B9-9DF8-58B1C534EB1A}"/>
            </c:ext>
          </c:extLst>
        </c:ser>
        <c:ser>
          <c:idx val="7"/>
          <c:order val="7"/>
          <c:tx>
            <c:strRef>
              <c:f>'Figure 1-2'!$L$1</c:f>
              <c:strCache>
                <c:ptCount val="1"/>
                <c:pt idx="0">
                  <c:v>Heat pumps incl. electricity</c:v>
                </c:pt>
              </c:strCache>
            </c:strRef>
          </c:tx>
          <c:spPr>
            <a:solidFill>
              <a:schemeClr val="accent2">
                <a:lumMod val="60000"/>
              </a:schemeClr>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1-2'!$L$2:$L$28</c:f>
              <c:numCache>
                <c:formatCode>0%</c:formatCode>
                <c:ptCount val="27"/>
                <c:pt idx="0">
                  <c:v>0</c:v>
                </c:pt>
                <c:pt idx="1">
                  <c:v>0</c:v>
                </c:pt>
                <c:pt idx="2">
                  <c:v>0</c:v>
                </c:pt>
                <c:pt idx="3">
                  <c:v>9.7120271033314506E-4</c:v>
                </c:pt>
                <c:pt idx="4">
                  <c:v>1.0130953880814923E-2</c:v>
                </c:pt>
                <c:pt idx="5">
                  <c:v>2.2509848058525606E-3</c:v>
                </c:pt>
                <c:pt idx="6">
                  <c:v>0</c:v>
                </c:pt>
                <c:pt idx="7">
                  <c:v>8.2187686790197254E-3</c:v>
                </c:pt>
                <c:pt idx="8">
                  <c:v>0</c:v>
                </c:pt>
                <c:pt idx="9">
                  <c:v>0</c:v>
                </c:pt>
                <c:pt idx="10">
                  <c:v>0</c:v>
                </c:pt>
                <c:pt idx="11">
                  <c:v>5.4313952453031791E-3</c:v>
                </c:pt>
                <c:pt idx="12">
                  <c:v>0</c:v>
                </c:pt>
                <c:pt idx="13">
                  <c:v>0</c:v>
                </c:pt>
                <c:pt idx="14">
                  <c:v>0</c:v>
                </c:pt>
                <c:pt idx="15">
                  <c:v>0</c:v>
                </c:pt>
                <c:pt idx="16">
                  <c:v>0</c:v>
                </c:pt>
                <c:pt idx="17">
                  <c:v>0</c:v>
                </c:pt>
                <c:pt idx="18">
                  <c:v>0</c:v>
                </c:pt>
                <c:pt idx="19">
                  <c:v>0.104</c:v>
                </c:pt>
                <c:pt idx="21" formatCode="0.0%">
                  <c:v>1.2344554768867238E-2</c:v>
                </c:pt>
                <c:pt idx="23">
                  <c:v>0.01</c:v>
                </c:pt>
                <c:pt idx="24">
                  <c:v>0</c:v>
                </c:pt>
                <c:pt idx="25">
                  <c:v>0.20698177324683348</c:v>
                </c:pt>
                <c:pt idx="26">
                  <c:v>0</c:v>
                </c:pt>
              </c:numCache>
            </c:numRef>
          </c:val>
          <c:extLst>
            <c:ext xmlns:c16="http://schemas.microsoft.com/office/drawing/2014/chart" uri="{C3380CC4-5D6E-409C-BE32-E72D297353CC}">
              <c16:uniqueId val="{00000007-49CB-49B9-9DF8-58B1C534EB1A}"/>
            </c:ext>
          </c:extLst>
        </c:ser>
        <c:ser>
          <c:idx val="8"/>
          <c:order val="8"/>
          <c:tx>
            <c:strRef>
              <c:f>'Figure 1-2'!$M$1</c:f>
              <c:strCache>
                <c:ptCount val="1"/>
                <c:pt idx="0">
                  <c:v>Industrial excess heat</c:v>
                </c:pt>
              </c:strCache>
            </c:strRef>
          </c:tx>
          <c:spPr>
            <a:solidFill>
              <a:schemeClr val="accent3">
                <a:lumMod val="60000"/>
              </a:schemeClr>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1-2'!$M$2:$M$28</c:f>
              <c:numCache>
                <c:formatCode>0%</c:formatCode>
                <c:ptCount val="27"/>
                <c:pt idx="0">
                  <c:v>0</c:v>
                </c:pt>
                <c:pt idx="1">
                  <c:v>7.4537468388127248E-3</c:v>
                </c:pt>
                <c:pt idx="2">
                  <c:v>0</c:v>
                </c:pt>
                <c:pt idx="3">
                  <c:v>6.0982495765104462E-3</c:v>
                </c:pt>
                <c:pt idx="4">
                  <c:v>3.0051951709366871E-2</c:v>
                </c:pt>
                <c:pt idx="5">
                  <c:v>0</c:v>
                </c:pt>
                <c:pt idx="6">
                  <c:v>0</c:v>
                </c:pt>
                <c:pt idx="7">
                  <c:v>2.5582785415421399E-2</c:v>
                </c:pt>
                <c:pt idx="8">
                  <c:v>1.6773751267147516E-2</c:v>
                </c:pt>
                <c:pt idx="9">
                  <c:v>0</c:v>
                </c:pt>
                <c:pt idx="10">
                  <c:v>0</c:v>
                </c:pt>
                <c:pt idx="11">
                  <c:v>4.5410025821387232E-3</c:v>
                </c:pt>
                <c:pt idx="12">
                  <c:v>0</c:v>
                </c:pt>
                <c:pt idx="13">
                  <c:v>0</c:v>
                </c:pt>
                <c:pt idx="14">
                  <c:v>0</c:v>
                </c:pt>
                <c:pt idx="15">
                  <c:v>0</c:v>
                </c:pt>
                <c:pt idx="16">
                  <c:v>0</c:v>
                </c:pt>
                <c:pt idx="17">
                  <c:v>0</c:v>
                </c:pt>
                <c:pt idx="18">
                  <c:v>1.7000000000000001E-2</c:v>
                </c:pt>
                <c:pt idx="19">
                  <c:v>7.6999999999999999E-2</c:v>
                </c:pt>
                <c:pt idx="21" formatCode="0.0%">
                  <c:v>1.698200513729347E-2</c:v>
                </c:pt>
                <c:pt idx="23">
                  <c:v>0</c:v>
                </c:pt>
                <c:pt idx="24">
                  <c:v>0</c:v>
                </c:pt>
                <c:pt idx="25">
                  <c:v>3.0583873957367932E-2</c:v>
                </c:pt>
                <c:pt idx="26">
                  <c:v>0</c:v>
                </c:pt>
              </c:numCache>
            </c:numRef>
          </c:val>
          <c:extLst>
            <c:ext xmlns:c16="http://schemas.microsoft.com/office/drawing/2014/chart" uri="{C3380CC4-5D6E-409C-BE32-E72D297353CC}">
              <c16:uniqueId val="{00000008-49CB-49B9-9DF8-58B1C534EB1A}"/>
            </c:ext>
          </c:extLst>
        </c:ser>
        <c:ser>
          <c:idx val="9"/>
          <c:order val="9"/>
          <c:tx>
            <c:strRef>
              <c:f>'Figure 1-2'!$N$1</c:f>
              <c:strCache>
                <c:ptCount val="1"/>
                <c:pt idx="0">
                  <c:v>Other</c:v>
                </c:pt>
              </c:strCache>
            </c:strRef>
          </c:tx>
          <c:spPr>
            <a:solidFill>
              <a:schemeClr val="accent4">
                <a:lumMod val="60000"/>
              </a:schemeClr>
            </a:solidFill>
            <a:ln>
              <a:noFill/>
            </a:ln>
            <a:effectLst/>
          </c:spPr>
          <c:invertIfNegative val="0"/>
          <c:cat>
            <c:strRef>
              <c:f>'Figure 1-2'!$A$2:$A$28</c:f>
              <c:strCache>
                <c:ptCount val="27"/>
                <c:pt idx="0">
                  <c:v>Austria  </c:v>
                </c:pt>
                <c:pt idx="1">
                  <c:v>Bulgaria </c:v>
                </c:pt>
                <c:pt idx="2">
                  <c:v>Croatia </c:v>
                </c:pt>
                <c:pt idx="3">
                  <c:v>Czech Republic </c:v>
                </c:pt>
                <c:pt idx="4">
                  <c:v>Denmark </c:v>
                </c:pt>
                <c:pt idx="5">
                  <c:v>Estonia </c:v>
                </c:pt>
                <c:pt idx="6">
                  <c:v>Finland </c:v>
                </c:pt>
                <c:pt idx="7">
                  <c:v>France </c:v>
                </c:pt>
                <c:pt idx="8">
                  <c:v>Germany </c:v>
                </c:pt>
                <c:pt idx="9">
                  <c:v>Greece </c:v>
                </c:pt>
                <c:pt idx="10">
                  <c:v>Hungary </c:v>
                </c:pt>
                <c:pt idx="11">
                  <c:v>Italy </c:v>
                </c:pt>
                <c:pt idx="12">
                  <c:v>Latvia </c:v>
                </c:pt>
                <c:pt idx="13">
                  <c:v>Lithuania </c:v>
                </c:pt>
                <c:pt idx="14">
                  <c:v>Netherlands </c:v>
                </c:pt>
                <c:pt idx="15">
                  <c:v>Poland </c:v>
                </c:pt>
                <c:pt idx="16">
                  <c:v>Romania </c:v>
                </c:pt>
                <c:pt idx="17">
                  <c:v>Slovakia </c:v>
                </c:pt>
                <c:pt idx="18">
                  <c:v>Slovenia </c:v>
                </c:pt>
                <c:pt idx="19">
                  <c:v>Sweden </c:v>
                </c:pt>
                <c:pt idx="21">
                  <c:v> EU-27</c:v>
                </c:pt>
                <c:pt idx="23">
                  <c:v>United Kingdom</c:v>
                </c:pt>
                <c:pt idx="24">
                  <c:v>Iceland </c:v>
                </c:pt>
                <c:pt idx="25">
                  <c:v>Norway </c:v>
                </c:pt>
                <c:pt idx="26">
                  <c:v>Ukraine </c:v>
                </c:pt>
              </c:strCache>
            </c:strRef>
          </c:cat>
          <c:val>
            <c:numRef>
              <c:f>'Figure 1-2'!$N$2:$N$28</c:f>
              <c:numCache>
                <c:formatCode>0%</c:formatCode>
                <c:ptCount val="27"/>
                <c:pt idx="0">
                  <c:v>0</c:v>
                </c:pt>
                <c:pt idx="1">
                  <c:v>0</c:v>
                </c:pt>
                <c:pt idx="2">
                  <c:v>0</c:v>
                </c:pt>
                <c:pt idx="3">
                  <c:v>9.2919254658385061E-2</c:v>
                </c:pt>
                <c:pt idx="4">
                  <c:v>0</c:v>
                </c:pt>
                <c:pt idx="5">
                  <c:v>0</c:v>
                </c:pt>
                <c:pt idx="6">
                  <c:v>0.13900000000000004</c:v>
                </c:pt>
                <c:pt idx="7">
                  <c:v>1.1954572624028691E-4</c:v>
                </c:pt>
                <c:pt idx="8">
                  <c:v>0</c:v>
                </c:pt>
                <c:pt idx="9">
                  <c:v>0</c:v>
                </c:pt>
                <c:pt idx="10">
                  <c:v>0</c:v>
                </c:pt>
                <c:pt idx="11">
                  <c:v>0</c:v>
                </c:pt>
                <c:pt idx="12">
                  <c:v>2.5466893039053647E-4</c:v>
                </c:pt>
                <c:pt idx="13">
                  <c:v>0</c:v>
                </c:pt>
                <c:pt idx="14">
                  <c:v>0</c:v>
                </c:pt>
                <c:pt idx="15">
                  <c:v>4.4299999999999999E-2</c:v>
                </c:pt>
                <c:pt idx="16">
                  <c:v>0</c:v>
                </c:pt>
                <c:pt idx="17">
                  <c:v>0</c:v>
                </c:pt>
                <c:pt idx="18">
                  <c:v>0</c:v>
                </c:pt>
                <c:pt idx="19">
                  <c:v>7.3100000000000082E-2</c:v>
                </c:pt>
                <c:pt idx="21" formatCode="0.0%">
                  <c:v>2.8574220675751331E-2</c:v>
                </c:pt>
                <c:pt idx="23">
                  <c:v>0</c:v>
                </c:pt>
                <c:pt idx="24">
                  <c:v>0.10075303883782984</c:v>
                </c:pt>
                <c:pt idx="25">
                  <c:v>0</c:v>
                </c:pt>
                <c:pt idx="26">
                  <c:v>0</c:v>
                </c:pt>
              </c:numCache>
            </c:numRef>
          </c:val>
          <c:extLst>
            <c:ext xmlns:c16="http://schemas.microsoft.com/office/drawing/2014/chart" uri="{C3380CC4-5D6E-409C-BE32-E72D297353CC}">
              <c16:uniqueId val="{00000009-49CB-49B9-9DF8-58B1C534EB1A}"/>
            </c:ext>
          </c:extLst>
        </c:ser>
        <c:dLbls>
          <c:showLegendKey val="0"/>
          <c:showVal val="0"/>
          <c:showCatName val="0"/>
          <c:showSerName val="0"/>
          <c:showPercent val="0"/>
          <c:showBubbleSize val="0"/>
        </c:dLbls>
        <c:gapWidth val="150"/>
        <c:overlap val="100"/>
        <c:axId val="1307606896"/>
        <c:axId val="1304573728"/>
      </c:barChart>
      <c:scatterChart>
        <c:scatterStyle val="lineMarker"/>
        <c:varyColors val="0"/>
        <c:ser>
          <c:idx val="10"/>
          <c:order val="10"/>
          <c:tx>
            <c:strRef>
              <c:f>'Figure 1-2'!$B$1</c:f>
              <c:strCache>
                <c:ptCount val="1"/>
                <c:pt idx="0">
                  <c:v>Cogeneration share</c:v>
                </c:pt>
              </c:strCache>
            </c:strRef>
          </c:tx>
          <c:spPr>
            <a:ln w="25400" cap="rnd">
              <a:noFill/>
              <a:round/>
            </a:ln>
            <a:effectLst/>
          </c:spPr>
          <c:marker>
            <c:symbol val="diamond"/>
            <c:size val="6"/>
            <c:spPr>
              <a:solidFill>
                <a:schemeClr val="tx1"/>
              </a:solidFill>
              <a:ln w="9525">
                <a:solidFill>
                  <a:schemeClr val="tx1">
                    <a:lumMod val="95000"/>
                    <a:lumOff val="5000"/>
                  </a:schemeClr>
                </a:solidFill>
                <a:miter lim="800000"/>
              </a:ln>
              <a:effectLst/>
            </c:spPr>
          </c:marker>
          <c:yVal>
            <c:numRef>
              <c:f>'Figure 1-2'!$B$2:$B$28</c:f>
              <c:numCache>
                <c:formatCode>0%</c:formatCode>
                <c:ptCount val="27"/>
                <c:pt idx="0">
                  <c:v>0.6</c:v>
                </c:pt>
                <c:pt idx="1">
                  <c:v>0.69160122454412354</c:v>
                </c:pt>
                <c:pt idx="2">
                  <c:v>0.77466504263093783</c:v>
                </c:pt>
                <c:pt idx="3">
                  <c:v>0.68</c:v>
                </c:pt>
                <c:pt idx="4">
                  <c:v>0.66225460043132511</c:v>
                </c:pt>
                <c:pt idx="5">
                  <c:v>0.49</c:v>
                </c:pt>
                <c:pt idx="6">
                  <c:v>0.67200000000000004</c:v>
                </c:pt>
                <c:pt idx="7">
                  <c:v>0.35337716676628811</c:v>
                </c:pt>
                <c:pt idx="8">
                  <c:v>0.70610929192890848</c:v>
                </c:pt>
                <c:pt idx="9">
                  <c:v>1</c:v>
                </c:pt>
                <c:pt idx="10">
                  <c:v>0.48671331240487575</c:v>
                </c:pt>
                <c:pt idx="11">
                  <c:v>0.65969192413854505</c:v>
                </c:pt>
                <c:pt idx="12">
                  <c:v>0.71452825612418147</c:v>
                </c:pt>
                <c:pt idx="13">
                  <c:v>0.39</c:v>
                </c:pt>
                <c:pt idx="14">
                  <c:v>0.63</c:v>
                </c:pt>
                <c:pt idx="15">
                  <c:v>0.66559999999999997</c:v>
                </c:pt>
                <c:pt idx="16">
                  <c:v>0.92</c:v>
                </c:pt>
                <c:pt idx="17">
                  <c:v>0.39463299131807417</c:v>
                </c:pt>
                <c:pt idx="18">
                  <c:v>0.78900000000000003</c:v>
                </c:pt>
                <c:pt idx="19">
                  <c:v>0.47374795051423463</c:v>
                </c:pt>
                <c:pt idx="21">
                  <c:v>0.6248551394751265</c:v>
                </c:pt>
                <c:pt idx="23">
                  <c:v>0.37</c:v>
                </c:pt>
                <c:pt idx="24">
                  <c:v>0.29884375926474949</c:v>
                </c:pt>
                <c:pt idx="25">
                  <c:v>0.5</c:v>
                </c:pt>
                <c:pt idx="26">
                  <c:v>0.34</c:v>
                </c:pt>
              </c:numCache>
            </c:numRef>
          </c:yVal>
          <c:smooth val="0"/>
          <c:extLst>
            <c:ext xmlns:c16="http://schemas.microsoft.com/office/drawing/2014/chart" uri="{C3380CC4-5D6E-409C-BE32-E72D297353CC}">
              <c16:uniqueId val="{0000000B-49CB-49B9-9DF8-58B1C534EB1A}"/>
            </c:ext>
          </c:extLst>
        </c:ser>
        <c:dLbls>
          <c:showLegendKey val="0"/>
          <c:showVal val="0"/>
          <c:showCatName val="0"/>
          <c:showSerName val="0"/>
          <c:showPercent val="0"/>
          <c:showBubbleSize val="0"/>
        </c:dLbls>
        <c:axId val="1354928688"/>
        <c:axId val="1281720768"/>
      </c:scatterChart>
      <c:catAx>
        <c:axId val="130760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04573728"/>
        <c:crosses val="autoZero"/>
        <c:auto val="1"/>
        <c:lblAlgn val="ctr"/>
        <c:lblOffset val="100"/>
        <c:noMultiLvlLbl val="0"/>
      </c:catAx>
      <c:valAx>
        <c:axId val="130457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07606896"/>
        <c:crosses val="autoZero"/>
        <c:crossBetween val="between"/>
      </c:valAx>
      <c:valAx>
        <c:axId val="1281720768"/>
        <c:scaling>
          <c:orientation val="minMax"/>
          <c:max val="1"/>
        </c:scaling>
        <c:delete val="1"/>
        <c:axPos val="r"/>
        <c:numFmt formatCode="0%" sourceLinked="1"/>
        <c:majorTickMark val="out"/>
        <c:minorTickMark val="none"/>
        <c:tickLblPos val="nextTo"/>
        <c:crossAx val="1354928688"/>
        <c:crosses val="max"/>
        <c:crossBetween val="midCat"/>
      </c:valAx>
      <c:valAx>
        <c:axId val="1354928688"/>
        <c:scaling>
          <c:orientation val="minMax"/>
        </c:scaling>
        <c:delete val="1"/>
        <c:axPos val="b"/>
        <c:majorTickMark val="out"/>
        <c:minorTickMark val="none"/>
        <c:tickLblPos val="nextTo"/>
        <c:crossAx val="1281720768"/>
        <c:crosses val="autoZero"/>
        <c:crossBetween val="midCat"/>
      </c:valAx>
      <c:spPr>
        <a:noFill/>
        <a:ln>
          <a:noFill/>
        </a:ln>
        <a:effectLst/>
      </c:spPr>
    </c:plotArea>
    <c:legend>
      <c:legendPos val="r"/>
      <c:layout>
        <c:manualLayout>
          <c:xMode val="edge"/>
          <c:yMode val="edge"/>
          <c:x val="0.72622029120212972"/>
          <c:y val="9.444777850367421E-2"/>
          <c:w val="0.26400257233637509"/>
          <c:h val="0.73898789778702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latin typeface="Verdana" panose="020B0604030504040204" pitchFamily="34" charset="0"/>
          <a:ea typeface="Verdana" panose="020B060403050404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134138888888888"/>
          <c:y val="0.1514480654406391"/>
          <c:w val="0.51710958333333323"/>
          <c:h val="0.8205621149195875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3B1-4D6C-861E-07E16316CC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ED-4739-9CB6-B8AFA9FA2E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ED-4739-9CB6-B8AFA9FA2E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ED-4739-9CB6-B8AFA9FA2E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8-33B1-4D6C-861E-07E16316CC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33B1-4D6C-861E-07E16316CC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5-33B1-4D6C-861E-07E16316CC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33B1-4D6C-861E-07E16316CC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33B1-4D6C-861E-07E16316CC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4-33B1-4D6C-861E-07E16316CC47}"/>
              </c:ext>
            </c:extLst>
          </c:dPt>
          <c:dLbls>
            <c:dLbl>
              <c:idx val="4"/>
              <c:layout>
                <c:manualLayout>
                  <c:x val="0.19560154690618761"/>
                  <c:y val="0.1267889308813841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B1-4D6C-861E-07E16316CC47}"/>
                </c:ext>
              </c:extLst>
            </c:dLbl>
            <c:dLbl>
              <c:idx val="5"/>
              <c:layout>
                <c:manualLayout>
                  <c:x val="-0.15262027777777779"/>
                  <c:y val="0.1574793205923086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B1-4D6C-861E-07E16316CC47}"/>
                </c:ext>
              </c:extLst>
            </c:dLbl>
            <c:dLbl>
              <c:idx val="6"/>
              <c:layout>
                <c:manualLayout>
                  <c:x val="-0.15268290972060949"/>
                  <c:y val="7.56441663565822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B1-4D6C-861E-07E16316CC47}"/>
                </c:ext>
              </c:extLst>
            </c:dLbl>
            <c:dLbl>
              <c:idx val="7"/>
              <c:layout>
                <c:manualLayout>
                  <c:x val="-0.17663256819693945"/>
                  <c:y val="-3.80144156627238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B1-4D6C-861E-07E16316CC47}"/>
                </c:ext>
              </c:extLst>
            </c:dLbl>
            <c:dLbl>
              <c:idx val="8"/>
              <c:layout>
                <c:manualLayout>
                  <c:x val="-1.8444444444444021E-4"/>
                  <c:y val="-3.4556407641088527E-2"/>
                </c:manualLayout>
              </c:layout>
              <c:showLegendKey val="0"/>
              <c:showVal val="1"/>
              <c:showCatName val="1"/>
              <c:showSerName val="0"/>
              <c:showPercent val="0"/>
              <c:showBubbleSize val="0"/>
              <c:extLst>
                <c:ext xmlns:c15="http://schemas.microsoft.com/office/drawing/2012/chart" uri="{CE6537A1-D6FC-4f65-9D91-7224C49458BB}">
                  <c15:layout>
                    <c:manualLayout>
                      <c:w val="0.20790083333333334"/>
                      <c:h val="9.004324978115047E-2"/>
                    </c:manualLayout>
                  </c15:layout>
                </c:ext>
                <c:ext xmlns:c16="http://schemas.microsoft.com/office/drawing/2014/chart" uri="{C3380CC4-5D6E-409C-BE32-E72D297353CC}">
                  <c16:uniqueId val="{00000002-33B1-4D6C-861E-07E16316CC47}"/>
                </c:ext>
              </c:extLst>
            </c:dLbl>
            <c:dLbl>
              <c:idx val="9"/>
              <c:layout>
                <c:manualLayout>
                  <c:x val="0.13009638614639465"/>
                  <c:y val="-1.1566786735732751E-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B1-4D6C-861E-07E16316CC47}"/>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Verdana" panose="020B0604030504040204" pitchFamily="34" charset="0"/>
                    <a:ea typeface="Verdana" panose="020B0604030504040204" pitchFamily="34" charset="0"/>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1-2'!$E$1:$N$1</c:f>
              <c:strCache>
                <c:ptCount val="10"/>
                <c:pt idx="0">
                  <c:v>Gas</c:v>
                </c:pt>
                <c:pt idx="1">
                  <c:v>Oil</c:v>
                </c:pt>
                <c:pt idx="2">
                  <c:v>Coal and peat</c:v>
                </c:pt>
                <c:pt idx="3">
                  <c:v>Non-renewable waste </c:v>
                </c:pt>
                <c:pt idx="4">
                  <c:v>Biomass, biofuels and renewable waste </c:v>
                </c:pt>
                <c:pt idx="5">
                  <c:v>Geothermal</c:v>
                </c:pt>
                <c:pt idx="6">
                  <c:v>Solar thermal </c:v>
                </c:pt>
                <c:pt idx="7">
                  <c:v>Heat pumps incl. electricity</c:v>
                </c:pt>
                <c:pt idx="8">
                  <c:v>Industrial excess heat</c:v>
                </c:pt>
                <c:pt idx="9">
                  <c:v>Other</c:v>
                </c:pt>
              </c:strCache>
            </c:strRef>
          </c:cat>
          <c:val>
            <c:numRef>
              <c:f>'Figure 1-2'!$E$23:$N$23</c:f>
              <c:numCache>
                <c:formatCode>0.0%</c:formatCode>
                <c:ptCount val="10"/>
                <c:pt idx="0">
                  <c:v>0.30391939097186338</c:v>
                </c:pt>
                <c:pt idx="1">
                  <c:v>2.3649736428970593E-2</c:v>
                </c:pt>
                <c:pt idx="2">
                  <c:v>0.26710108410902655</c:v>
                </c:pt>
                <c:pt idx="3">
                  <c:v>7.1925763705276452E-2</c:v>
                </c:pt>
                <c:pt idx="4">
                  <c:v>0.26860039828652604</c:v>
                </c:pt>
                <c:pt idx="5">
                  <c:v>6.6704293508986594E-3</c:v>
                </c:pt>
                <c:pt idx="6">
                  <c:v>1.2204850118242335E-3</c:v>
                </c:pt>
                <c:pt idx="7">
                  <c:v>1.2344554768867238E-2</c:v>
                </c:pt>
                <c:pt idx="8">
                  <c:v>1.698200513729347E-2</c:v>
                </c:pt>
                <c:pt idx="9">
                  <c:v>2.8574220675751331E-2</c:v>
                </c:pt>
              </c:numCache>
            </c:numRef>
          </c:val>
          <c:extLst>
            <c:ext xmlns:c16="http://schemas.microsoft.com/office/drawing/2014/chart" uri="{C3380CC4-5D6E-409C-BE32-E72D297353CC}">
              <c16:uniqueId val="{00000000-33B1-4D6C-861E-07E16316CC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200">
          <a:latin typeface="Verdana" panose="020B0604030504040204" pitchFamily="34" charset="0"/>
          <a:ea typeface="Verdana" panose="020B0604030504040204" pitchFamily="34" charset="0"/>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3'!$K$1</c:f>
              <c:strCache>
                <c:ptCount val="1"/>
                <c:pt idx="0">
                  <c:v>Biomass, biofuels and renewable waste</c:v>
                </c:pt>
              </c:strCache>
            </c:strRef>
          </c:tx>
          <c:spPr>
            <a:solidFill>
              <a:srgbClr val="00B050"/>
            </a:solidFill>
            <a:ln>
              <a:noFill/>
            </a:ln>
            <a:effectLst/>
          </c:spPr>
          <c:invertIfNegative val="0"/>
          <c:cat>
            <c:strRef>
              <c:f>'Figure 3'!$J$2:$J$27</c:f>
              <c:strCache>
                <c:ptCount val="26"/>
                <c:pt idx="0">
                  <c:v>Austria  </c:v>
                </c:pt>
                <c:pt idx="1">
                  <c:v>Bulgaria </c:v>
                </c:pt>
                <c:pt idx="2">
                  <c:v>Croatia </c:v>
                </c:pt>
                <c:pt idx="3">
                  <c:v>Czech Republic </c:v>
                </c:pt>
                <c:pt idx="4">
                  <c:v>Denmark </c:v>
                </c:pt>
                <c:pt idx="5">
                  <c:v>Estonia </c:v>
                </c:pt>
                <c:pt idx="6">
                  <c:v>Finland </c:v>
                </c:pt>
                <c:pt idx="7">
                  <c:v>France </c:v>
                </c:pt>
                <c:pt idx="8">
                  <c:v>Germany </c:v>
                </c:pt>
                <c:pt idx="9">
                  <c:v>Hungary </c:v>
                </c:pt>
                <c:pt idx="10">
                  <c:v>Italy </c:v>
                </c:pt>
                <c:pt idx="11">
                  <c:v>Latvia </c:v>
                </c:pt>
                <c:pt idx="12">
                  <c:v>Lithuania </c:v>
                </c:pt>
                <c:pt idx="13">
                  <c:v>Netherlands </c:v>
                </c:pt>
                <c:pt idx="14">
                  <c:v>Poland </c:v>
                </c:pt>
                <c:pt idx="15">
                  <c:v>Romania </c:v>
                </c:pt>
                <c:pt idx="16">
                  <c:v>Slovakia </c:v>
                </c:pt>
                <c:pt idx="17">
                  <c:v>Slovenia </c:v>
                </c:pt>
                <c:pt idx="18">
                  <c:v>Sweden </c:v>
                </c:pt>
                <c:pt idx="20">
                  <c:v> EU-27</c:v>
                </c:pt>
                <c:pt idx="22">
                  <c:v>United Kingdom</c:v>
                </c:pt>
                <c:pt idx="23">
                  <c:v>Iceland </c:v>
                </c:pt>
                <c:pt idx="24">
                  <c:v>Norway </c:v>
                </c:pt>
                <c:pt idx="25">
                  <c:v>Ukraine </c:v>
                </c:pt>
              </c:strCache>
            </c:strRef>
          </c:cat>
          <c:val>
            <c:numRef>
              <c:f>'Figure 3'!$K$2:$K$27</c:f>
              <c:numCache>
                <c:formatCode>0%</c:formatCode>
                <c:ptCount val="26"/>
                <c:pt idx="0">
                  <c:v>1</c:v>
                </c:pt>
                <c:pt idx="1">
                  <c:v>0.97640117994100295</c:v>
                </c:pt>
                <c:pt idx="2">
                  <c:v>0.69511161345012717</c:v>
                </c:pt>
                <c:pt idx="3">
                  <c:v>0.89444444444444438</c:v>
                </c:pt>
                <c:pt idx="4">
                  <c:v>0.9093842270692446</c:v>
                </c:pt>
                <c:pt idx="5">
                  <c:v>0.9951239333604226</c:v>
                </c:pt>
                <c:pt idx="6">
                  <c:v>1</c:v>
                </c:pt>
                <c:pt idx="7">
                  <c:v>0.85195913208342111</c:v>
                </c:pt>
                <c:pt idx="8">
                  <c:v>0.89007861208999728</c:v>
                </c:pt>
                <c:pt idx="9">
                  <c:v>0.69807053884535197</c:v>
                </c:pt>
                <c:pt idx="10">
                  <c:v>0.79959062896300093</c:v>
                </c:pt>
                <c:pt idx="11">
                  <c:v>1</c:v>
                </c:pt>
                <c:pt idx="12">
                  <c:v>1</c:v>
                </c:pt>
                <c:pt idx="13">
                  <c:v>1</c:v>
                </c:pt>
                <c:pt idx="14">
                  <c:v>1</c:v>
                </c:pt>
                <c:pt idx="15">
                  <c:v>1</c:v>
                </c:pt>
                <c:pt idx="16">
                  <c:v>1</c:v>
                </c:pt>
                <c:pt idx="17">
                  <c:v>0.88118811881188119</c:v>
                </c:pt>
                <c:pt idx="18">
                  <c:v>0.68521739130434789</c:v>
                </c:pt>
                <c:pt idx="20">
                  <c:v>0.87830183384020399</c:v>
                </c:pt>
                <c:pt idx="22">
                  <c:v>0.91666666666666663</c:v>
                </c:pt>
                <c:pt idx="23">
                  <c:v>0</c:v>
                </c:pt>
                <c:pt idx="24">
                  <c:v>0.52166205330762283</c:v>
                </c:pt>
                <c:pt idx="25">
                  <c:v>1</c:v>
                </c:pt>
              </c:numCache>
            </c:numRef>
          </c:val>
          <c:extLst>
            <c:ext xmlns:c16="http://schemas.microsoft.com/office/drawing/2014/chart" uri="{C3380CC4-5D6E-409C-BE32-E72D297353CC}">
              <c16:uniqueId val="{00000000-0DBF-4682-AE27-15E973F4F973}"/>
            </c:ext>
          </c:extLst>
        </c:ser>
        <c:ser>
          <c:idx val="1"/>
          <c:order val="1"/>
          <c:tx>
            <c:strRef>
              <c:f>'Figure 3'!$L$1</c:f>
              <c:strCache>
                <c:ptCount val="1"/>
                <c:pt idx="0">
                  <c:v>Geothermal</c:v>
                </c:pt>
              </c:strCache>
            </c:strRef>
          </c:tx>
          <c:spPr>
            <a:solidFill>
              <a:schemeClr val="accent2"/>
            </a:solidFill>
            <a:ln>
              <a:noFill/>
            </a:ln>
            <a:effectLst/>
          </c:spPr>
          <c:invertIfNegative val="0"/>
          <c:cat>
            <c:strRef>
              <c:f>'Figure 3'!$J$2:$J$27</c:f>
              <c:strCache>
                <c:ptCount val="26"/>
                <c:pt idx="0">
                  <c:v>Austria  </c:v>
                </c:pt>
                <c:pt idx="1">
                  <c:v>Bulgaria </c:v>
                </c:pt>
                <c:pt idx="2">
                  <c:v>Croatia </c:v>
                </c:pt>
                <c:pt idx="3">
                  <c:v>Czech Republic </c:v>
                </c:pt>
                <c:pt idx="4">
                  <c:v>Denmark </c:v>
                </c:pt>
                <c:pt idx="5">
                  <c:v>Estonia </c:v>
                </c:pt>
                <c:pt idx="6">
                  <c:v>Finland </c:v>
                </c:pt>
                <c:pt idx="7">
                  <c:v>France </c:v>
                </c:pt>
                <c:pt idx="8">
                  <c:v>Germany </c:v>
                </c:pt>
                <c:pt idx="9">
                  <c:v>Hungary </c:v>
                </c:pt>
                <c:pt idx="10">
                  <c:v>Italy </c:v>
                </c:pt>
                <c:pt idx="11">
                  <c:v>Latvia </c:v>
                </c:pt>
                <c:pt idx="12">
                  <c:v>Lithuania </c:v>
                </c:pt>
                <c:pt idx="13">
                  <c:v>Netherlands </c:v>
                </c:pt>
                <c:pt idx="14">
                  <c:v>Poland </c:v>
                </c:pt>
                <c:pt idx="15">
                  <c:v>Romania </c:v>
                </c:pt>
                <c:pt idx="16">
                  <c:v>Slovakia </c:v>
                </c:pt>
                <c:pt idx="17">
                  <c:v>Slovenia </c:v>
                </c:pt>
                <c:pt idx="18">
                  <c:v>Sweden </c:v>
                </c:pt>
                <c:pt idx="20">
                  <c:v> EU-27</c:v>
                </c:pt>
                <c:pt idx="22">
                  <c:v>United Kingdom</c:v>
                </c:pt>
                <c:pt idx="23">
                  <c:v>Iceland </c:v>
                </c:pt>
                <c:pt idx="24">
                  <c:v>Norway </c:v>
                </c:pt>
                <c:pt idx="25">
                  <c:v>Ukraine </c:v>
                </c:pt>
              </c:strCache>
            </c:strRef>
          </c:cat>
          <c:val>
            <c:numRef>
              <c:f>'Figure 3'!$L$2:$L$27</c:f>
              <c:numCache>
                <c:formatCode>0%</c:formatCode>
                <c:ptCount val="26"/>
                <c:pt idx="0">
                  <c:v>0</c:v>
                </c:pt>
                <c:pt idx="1">
                  <c:v>0</c:v>
                </c:pt>
                <c:pt idx="2">
                  <c:v>0.30488838654987288</c:v>
                </c:pt>
                <c:pt idx="3">
                  <c:v>0</c:v>
                </c:pt>
                <c:pt idx="4">
                  <c:v>6.5482426897799778E-4</c:v>
                </c:pt>
                <c:pt idx="5">
                  <c:v>0</c:v>
                </c:pt>
                <c:pt idx="6">
                  <c:v>0</c:v>
                </c:pt>
                <c:pt idx="7">
                  <c:v>8.8476932799662941E-2</c:v>
                </c:pt>
                <c:pt idx="8">
                  <c:v>3.0902683654106804E-2</c:v>
                </c:pt>
                <c:pt idx="9">
                  <c:v>0.30186941240454424</c:v>
                </c:pt>
                <c:pt idx="10">
                  <c:v>0.11660696672377098</c:v>
                </c:pt>
                <c:pt idx="11">
                  <c:v>0</c:v>
                </c:pt>
                <c:pt idx="12">
                  <c:v>0</c:v>
                </c:pt>
                <c:pt idx="13">
                  <c:v>0</c:v>
                </c:pt>
                <c:pt idx="14">
                  <c:v>0</c:v>
                </c:pt>
                <c:pt idx="15">
                  <c:v>0</c:v>
                </c:pt>
                <c:pt idx="16">
                  <c:v>0</c:v>
                </c:pt>
                <c:pt idx="17">
                  <c:v>3.4653465346534656E-2</c:v>
                </c:pt>
                <c:pt idx="18">
                  <c:v>0</c:v>
                </c:pt>
                <c:pt idx="20">
                  <c:v>2.1811770826736354E-2</c:v>
                </c:pt>
                <c:pt idx="22">
                  <c:v>0</c:v>
                </c:pt>
                <c:pt idx="23">
                  <c:v>1</c:v>
                </c:pt>
                <c:pt idx="24">
                  <c:v>0</c:v>
                </c:pt>
                <c:pt idx="25">
                  <c:v>0</c:v>
                </c:pt>
              </c:numCache>
            </c:numRef>
          </c:val>
          <c:extLst>
            <c:ext xmlns:c16="http://schemas.microsoft.com/office/drawing/2014/chart" uri="{C3380CC4-5D6E-409C-BE32-E72D297353CC}">
              <c16:uniqueId val="{00000001-0DBF-4682-AE27-15E973F4F973}"/>
            </c:ext>
          </c:extLst>
        </c:ser>
        <c:ser>
          <c:idx val="2"/>
          <c:order val="2"/>
          <c:tx>
            <c:strRef>
              <c:f>'Figure 3'!$M$1</c:f>
              <c:strCache>
                <c:ptCount val="1"/>
                <c:pt idx="0">
                  <c:v>Solar thermal </c:v>
                </c:pt>
              </c:strCache>
            </c:strRef>
          </c:tx>
          <c:spPr>
            <a:solidFill>
              <a:schemeClr val="accent3"/>
            </a:solidFill>
            <a:ln>
              <a:noFill/>
            </a:ln>
            <a:effectLst/>
          </c:spPr>
          <c:invertIfNegative val="0"/>
          <c:cat>
            <c:strRef>
              <c:f>'Figure 3'!$J$2:$J$27</c:f>
              <c:strCache>
                <c:ptCount val="26"/>
                <c:pt idx="0">
                  <c:v>Austria  </c:v>
                </c:pt>
                <c:pt idx="1">
                  <c:v>Bulgaria </c:v>
                </c:pt>
                <c:pt idx="2">
                  <c:v>Croatia </c:v>
                </c:pt>
                <c:pt idx="3">
                  <c:v>Czech Republic </c:v>
                </c:pt>
                <c:pt idx="4">
                  <c:v>Denmark </c:v>
                </c:pt>
                <c:pt idx="5">
                  <c:v>Estonia </c:v>
                </c:pt>
                <c:pt idx="6">
                  <c:v>Finland </c:v>
                </c:pt>
                <c:pt idx="7">
                  <c:v>France </c:v>
                </c:pt>
                <c:pt idx="8">
                  <c:v>Germany </c:v>
                </c:pt>
                <c:pt idx="9">
                  <c:v>Hungary </c:v>
                </c:pt>
                <c:pt idx="10">
                  <c:v>Italy </c:v>
                </c:pt>
                <c:pt idx="11">
                  <c:v>Latvia </c:v>
                </c:pt>
                <c:pt idx="12">
                  <c:v>Lithuania </c:v>
                </c:pt>
                <c:pt idx="13">
                  <c:v>Netherlands </c:v>
                </c:pt>
                <c:pt idx="14">
                  <c:v>Poland </c:v>
                </c:pt>
                <c:pt idx="15">
                  <c:v>Romania </c:v>
                </c:pt>
                <c:pt idx="16">
                  <c:v>Slovakia </c:v>
                </c:pt>
                <c:pt idx="17">
                  <c:v>Slovenia </c:v>
                </c:pt>
                <c:pt idx="18">
                  <c:v>Sweden </c:v>
                </c:pt>
                <c:pt idx="20">
                  <c:v> EU-27</c:v>
                </c:pt>
                <c:pt idx="22">
                  <c:v>United Kingdom</c:v>
                </c:pt>
                <c:pt idx="23">
                  <c:v>Iceland </c:v>
                </c:pt>
                <c:pt idx="24">
                  <c:v>Norway </c:v>
                </c:pt>
                <c:pt idx="25">
                  <c:v>Ukraine </c:v>
                </c:pt>
              </c:strCache>
            </c:strRef>
          </c:cat>
          <c:val>
            <c:numRef>
              <c:f>'Figure 3'!$M$2:$M$27</c:f>
              <c:numCache>
                <c:formatCode>0%</c:formatCode>
                <c:ptCount val="26"/>
                <c:pt idx="0">
                  <c:v>0</c:v>
                </c:pt>
                <c:pt idx="1">
                  <c:v>0</c:v>
                </c:pt>
                <c:pt idx="2">
                  <c:v>0</c:v>
                </c:pt>
                <c:pt idx="3">
                  <c:v>1.6835016835016836E-4</c:v>
                </c:pt>
                <c:pt idx="4">
                  <c:v>2.5407181636346313E-2</c:v>
                </c:pt>
                <c:pt idx="5">
                  <c:v>0</c:v>
                </c:pt>
                <c:pt idx="6">
                  <c:v>0</c:v>
                </c:pt>
                <c:pt idx="7">
                  <c:v>0</c:v>
                </c:pt>
                <c:pt idx="8">
                  <c:v>1.0843046896177825E-3</c:v>
                </c:pt>
                <c:pt idx="9">
                  <c:v>6.0048750103702613E-5</c:v>
                </c:pt>
                <c:pt idx="10">
                  <c:v>7.4161419746219626E-4</c:v>
                </c:pt>
                <c:pt idx="11">
                  <c:v>0</c:v>
                </c:pt>
                <c:pt idx="12">
                  <c:v>0</c:v>
                </c:pt>
                <c:pt idx="13">
                  <c:v>0</c:v>
                </c:pt>
                <c:pt idx="14">
                  <c:v>0</c:v>
                </c:pt>
                <c:pt idx="15">
                  <c:v>0</c:v>
                </c:pt>
                <c:pt idx="16">
                  <c:v>0</c:v>
                </c:pt>
                <c:pt idx="17">
                  <c:v>0</c:v>
                </c:pt>
                <c:pt idx="18">
                  <c:v>0</c:v>
                </c:pt>
                <c:pt idx="20" formatCode="0.0%">
                  <c:v>3.9908884383567213E-3</c:v>
                </c:pt>
                <c:pt idx="22">
                  <c:v>0</c:v>
                </c:pt>
                <c:pt idx="23">
                  <c:v>0</c:v>
                </c:pt>
                <c:pt idx="24">
                  <c:v>0</c:v>
                </c:pt>
                <c:pt idx="25">
                  <c:v>0</c:v>
                </c:pt>
              </c:numCache>
            </c:numRef>
          </c:val>
          <c:extLst>
            <c:ext xmlns:c16="http://schemas.microsoft.com/office/drawing/2014/chart" uri="{C3380CC4-5D6E-409C-BE32-E72D297353CC}">
              <c16:uniqueId val="{00000002-0DBF-4682-AE27-15E973F4F973}"/>
            </c:ext>
          </c:extLst>
        </c:ser>
        <c:ser>
          <c:idx val="3"/>
          <c:order val="3"/>
          <c:tx>
            <c:strRef>
              <c:f>'Figure 3'!$N$1</c:f>
              <c:strCache>
                <c:ptCount val="1"/>
                <c:pt idx="0">
                  <c:v>Heat pumps incl elec.</c:v>
                </c:pt>
              </c:strCache>
            </c:strRef>
          </c:tx>
          <c:spPr>
            <a:solidFill>
              <a:schemeClr val="accent4"/>
            </a:solidFill>
            <a:ln>
              <a:noFill/>
            </a:ln>
            <a:effectLst/>
          </c:spPr>
          <c:invertIfNegative val="0"/>
          <c:cat>
            <c:strRef>
              <c:f>'Figure 3'!$J$2:$J$27</c:f>
              <c:strCache>
                <c:ptCount val="26"/>
                <c:pt idx="0">
                  <c:v>Austria  </c:v>
                </c:pt>
                <c:pt idx="1">
                  <c:v>Bulgaria </c:v>
                </c:pt>
                <c:pt idx="2">
                  <c:v>Croatia </c:v>
                </c:pt>
                <c:pt idx="3">
                  <c:v>Czech Republic </c:v>
                </c:pt>
                <c:pt idx="4">
                  <c:v>Denmark </c:v>
                </c:pt>
                <c:pt idx="5">
                  <c:v>Estonia </c:v>
                </c:pt>
                <c:pt idx="6">
                  <c:v>Finland </c:v>
                </c:pt>
                <c:pt idx="7">
                  <c:v>France </c:v>
                </c:pt>
                <c:pt idx="8">
                  <c:v>Germany </c:v>
                </c:pt>
                <c:pt idx="9">
                  <c:v>Hungary </c:v>
                </c:pt>
                <c:pt idx="10">
                  <c:v>Italy </c:v>
                </c:pt>
                <c:pt idx="11">
                  <c:v>Latvia </c:v>
                </c:pt>
                <c:pt idx="12">
                  <c:v>Lithuania </c:v>
                </c:pt>
                <c:pt idx="13">
                  <c:v>Netherlands </c:v>
                </c:pt>
                <c:pt idx="14">
                  <c:v>Poland </c:v>
                </c:pt>
                <c:pt idx="15">
                  <c:v>Romania </c:v>
                </c:pt>
                <c:pt idx="16">
                  <c:v>Slovakia </c:v>
                </c:pt>
                <c:pt idx="17">
                  <c:v>Slovenia </c:v>
                </c:pt>
                <c:pt idx="18">
                  <c:v>Sweden </c:v>
                </c:pt>
                <c:pt idx="20">
                  <c:v> EU-27</c:v>
                </c:pt>
                <c:pt idx="22">
                  <c:v>United Kingdom</c:v>
                </c:pt>
                <c:pt idx="23">
                  <c:v>Iceland </c:v>
                </c:pt>
                <c:pt idx="24">
                  <c:v>Norway </c:v>
                </c:pt>
                <c:pt idx="25">
                  <c:v>Ukraine </c:v>
                </c:pt>
              </c:strCache>
            </c:strRef>
          </c:cat>
          <c:val>
            <c:numRef>
              <c:f>'Figure 3'!$N$2:$N$27</c:f>
              <c:numCache>
                <c:formatCode>0%</c:formatCode>
                <c:ptCount val="26"/>
                <c:pt idx="0">
                  <c:v>0</c:v>
                </c:pt>
                <c:pt idx="1">
                  <c:v>0</c:v>
                </c:pt>
                <c:pt idx="2">
                  <c:v>0</c:v>
                </c:pt>
                <c:pt idx="3">
                  <c:v>1.4478114478114479E-2</c:v>
                </c:pt>
                <c:pt idx="4">
                  <c:v>1.6275359558053148E-2</c:v>
                </c:pt>
                <c:pt idx="5">
                  <c:v>4.8760666395774076E-3</c:v>
                </c:pt>
                <c:pt idx="6">
                  <c:v>0</c:v>
                </c:pt>
                <c:pt idx="7">
                  <c:v>1.4482831261849589E-2</c:v>
                </c:pt>
                <c:pt idx="8">
                  <c:v>0</c:v>
                </c:pt>
                <c:pt idx="9">
                  <c:v>0</c:v>
                </c:pt>
                <c:pt idx="10">
                  <c:v>4.5238466045193972E-2</c:v>
                </c:pt>
                <c:pt idx="11">
                  <c:v>0</c:v>
                </c:pt>
                <c:pt idx="12">
                  <c:v>0</c:v>
                </c:pt>
                <c:pt idx="13">
                  <c:v>0</c:v>
                </c:pt>
                <c:pt idx="14">
                  <c:v>0</c:v>
                </c:pt>
                <c:pt idx="15">
                  <c:v>0</c:v>
                </c:pt>
                <c:pt idx="16">
                  <c:v>0</c:v>
                </c:pt>
                <c:pt idx="17">
                  <c:v>0</c:v>
                </c:pt>
                <c:pt idx="18">
                  <c:v>0.18086956521739131</c:v>
                </c:pt>
                <c:pt idx="20">
                  <c:v>4.036570742486801E-2</c:v>
                </c:pt>
                <c:pt idx="22">
                  <c:v>8.3333333333333343E-2</c:v>
                </c:pt>
                <c:pt idx="23">
                  <c:v>0</c:v>
                </c:pt>
                <c:pt idx="24">
                  <c:v>0.4167573787826952</c:v>
                </c:pt>
                <c:pt idx="25">
                  <c:v>0</c:v>
                </c:pt>
              </c:numCache>
            </c:numRef>
          </c:val>
          <c:extLst>
            <c:ext xmlns:c16="http://schemas.microsoft.com/office/drawing/2014/chart" uri="{C3380CC4-5D6E-409C-BE32-E72D297353CC}">
              <c16:uniqueId val="{00000003-0DBF-4682-AE27-15E973F4F973}"/>
            </c:ext>
          </c:extLst>
        </c:ser>
        <c:ser>
          <c:idx val="4"/>
          <c:order val="4"/>
          <c:tx>
            <c:strRef>
              <c:f>'Figure 3'!$O$1</c:f>
              <c:strCache>
                <c:ptCount val="1"/>
                <c:pt idx="0">
                  <c:v>Industrial excess heat</c:v>
                </c:pt>
              </c:strCache>
            </c:strRef>
          </c:tx>
          <c:spPr>
            <a:solidFill>
              <a:schemeClr val="accent5"/>
            </a:solidFill>
            <a:ln>
              <a:noFill/>
            </a:ln>
            <a:effectLst/>
          </c:spPr>
          <c:invertIfNegative val="0"/>
          <c:cat>
            <c:strRef>
              <c:f>'Figure 3'!$J$2:$J$27</c:f>
              <c:strCache>
                <c:ptCount val="26"/>
                <c:pt idx="0">
                  <c:v>Austria  </c:v>
                </c:pt>
                <c:pt idx="1">
                  <c:v>Bulgaria </c:v>
                </c:pt>
                <c:pt idx="2">
                  <c:v>Croatia </c:v>
                </c:pt>
                <c:pt idx="3">
                  <c:v>Czech Republic </c:v>
                </c:pt>
                <c:pt idx="4">
                  <c:v>Denmark </c:v>
                </c:pt>
                <c:pt idx="5">
                  <c:v>Estonia </c:v>
                </c:pt>
                <c:pt idx="6">
                  <c:v>Finland </c:v>
                </c:pt>
                <c:pt idx="7">
                  <c:v>France </c:v>
                </c:pt>
                <c:pt idx="8">
                  <c:v>Germany </c:v>
                </c:pt>
                <c:pt idx="9">
                  <c:v>Hungary </c:v>
                </c:pt>
                <c:pt idx="10">
                  <c:v>Italy </c:v>
                </c:pt>
                <c:pt idx="11">
                  <c:v>Latvia </c:v>
                </c:pt>
                <c:pt idx="12">
                  <c:v>Lithuania </c:v>
                </c:pt>
                <c:pt idx="13">
                  <c:v>Netherlands </c:v>
                </c:pt>
                <c:pt idx="14">
                  <c:v>Poland </c:v>
                </c:pt>
                <c:pt idx="15">
                  <c:v>Romania </c:v>
                </c:pt>
                <c:pt idx="16">
                  <c:v>Slovakia </c:v>
                </c:pt>
                <c:pt idx="17">
                  <c:v>Slovenia </c:v>
                </c:pt>
                <c:pt idx="18">
                  <c:v>Sweden </c:v>
                </c:pt>
                <c:pt idx="20">
                  <c:v> EU-27</c:v>
                </c:pt>
                <c:pt idx="22">
                  <c:v>United Kingdom</c:v>
                </c:pt>
                <c:pt idx="23">
                  <c:v>Iceland </c:v>
                </c:pt>
                <c:pt idx="24">
                  <c:v>Norway </c:v>
                </c:pt>
                <c:pt idx="25">
                  <c:v>Ukraine </c:v>
                </c:pt>
              </c:strCache>
            </c:strRef>
          </c:cat>
          <c:val>
            <c:numRef>
              <c:f>'Figure 3'!$O$2:$O$27</c:f>
              <c:numCache>
                <c:formatCode>0%</c:formatCode>
                <c:ptCount val="26"/>
                <c:pt idx="0">
                  <c:v>0</c:v>
                </c:pt>
                <c:pt idx="1">
                  <c:v>2.359882005899705E-2</c:v>
                </c:pt>
                <c:pt idx="2">
                  <c:v>0</c:v>
                </c:pt>
                <c:pt idx="3">
                  <c:v>9.0909090909090912E-2</c:v>
                </c:pt>
                <c:pt idx="4">
                  <c:v>4.827840746737784E-2</c:v>
                </c:pt>
                <c:pt idx="5">
                  <c:v>0</c:v>
                </c:pt>
                <c:pt idx="6">
                  <c:v>0</c:v>
                </c:pt>
                <c:pt idx="7">
                  <c:v>4.5081103855066355E-2</c:v>
                </c:pt>
                <c:pt idx="8">
                  <c:v>7.7934399566278123E-2</c:v>
                </c:pt>
                <c:pt idx="9">
                  <c:v>0</c:v>
                </c:pt>
                <c:pt idx="10">
                  <c:v>3.7822324070572011E-2</c:v>
                </c:pt>
                <c:pt idx="11">
                  <c:v>0</c:v>
                </c:pt>
                <c:pt idx="12">
                  <c:v>0</c:v>
                </c:pt>
                <c:pt idx="13">
                  <c:v>0</c:v>
                </c:pt>
                <c:pt idx="14">
                  <c:v>0</c:v>
                </c:pt>
                <c:pt idx="15">
                  <c:v>0</c:v>
                </c:pt>
                <c:pt idx="16">
                  <c:v>0</c:v>
                </c:pt>
                <c:pt idx="17">
                  <c:v>8.4158415841584178E-2</c:v>
                </c:pt>
                <c:pt idx="18">
                  <c:v>0.13391304347826086</c:v>
                </c:pt>
                <c:pt idx="20">
                  <c:v>5.5529799469835057E-2</c:v>
                </c:pt>
                <c:pt idx="22">
                  <c:v>0</c:v>
                </c:pt>
                <c:pt idx="23">
                  <c:v>0</c:v>
                </c:pt>
                <c:pt idx="24">
                  <c:v>6.1580567909681833E-2</c:v>
                </c:pt>
                <c:pt idx="25">
                  <c:v>0</c:v>
                </c:pt>
              </c:numCache>
            </c:numRef>
          </c:val>
          <c:extLst>
            <c:ext xmlns:c16="http://schemas.microsoft.com/office/drawing/2014/chart" uri="{C3380CC4-5D6E-409C-BE32-E72D297353CC}">
              <c16:uniqueId val="{00000004-0DBF-4682-AE27-15E973F4F973}"/>
            </c:ext>
          </c:extLst>
        </c:ser>
        <c:dLbls>
          <c:showLegendKey val="0"/>
          <c:showVal val="0"/>
          <c:showCatName val="0"/>
          <c:showSerName val="0"/>
          <c:showPercent val="0"/>
          <c:showBubbleSize val="0"/>
        </c:dLbls>
        <c:gapWidth val="150"/>
        <c:overlap val="100"/>
        <c:axId val="425160607"/>
        <c:axId val="364267055"/>
      </c:barChart>
      <c:scatterChart>
        <c:scatterStyle val="lineMarker"/>
        <c:varyColors val="0"/>
        <c:ser>
          <c:idx val="5"/>
          <c:order val="5"/>
          <c:tx>
            <c:strRef>
              <c:f>'Figure 3'!$P$1</c:f>
              <c:strCache>
                <c:ptCount val="1"/>
                <c:pt idx="0">
                  <c:v>Total share of renewables in district heating supply </c:v>
                </c:pt>
              </c:strCache>
            </c:strRef>
          </c:tx>
          <c:spPr>
            <a:ln w="25400" cap="rnd">
              <a:noFill/>
              <a:round/>
            </a:ln>
            <a:effectLst/>
          </c:spPr>
          <c:marker>
            <c:symbol val="circle"/>
            <c:size val="5"/>
            <c:spPr>
              <a:solidFill>
                <a:schemeClr val="tx1"/>
              </a:solidFill>
              <a:ln w="9525">
                <a:solidFill>
                  <a:schemeClr val="tx1"/>
                </a:solidFill>
              </a:ln>
              <a:effectLst/>
            </c:spPr>
          </c:marker>
          <c:yVal>
            <c:numRef>
              <c:f>'Figure 3'!$P$2:$P$27</c:f>
              <c:numCache>
                <c:formatCode>0%</c:formatCode>
                <c:ptCount val="26"/>
                <c:pt idx="0">
                  <c:v>0.47</c:v>
                </c:pt>
                <c:pt idx="1">
                  <c:v>0.31585252229468919</c:v>
                </c:pt>
                <c:pt idx="2">
                  <c:v>5.7474624441737716E-3</c:v>
                </c:pt>
                <c:pt idx="3">
                  <c:v>6.70807453416149E-2</c:v>
                </c:pt>
                <c:pt idx="4">
                  <c:v>0.62247189345823484</c:v>
                </c:pt>
                <c:pt idx="5">
                  <c:v>0.46163946726692928</c:v>
                </c:pt>
                <c:pt idx="6">
                  <c:v>0.36399999999999999</c:v>
                </c:pt>
                <c:pt idx="7">
                  <c:v>0.56748356246264198</c:v>
                </c:pt>
                <c:pt idx="8">
                  <c:v>0.21522910756350325</c:v>
                </c:pt>
                <c:pt idx="9">
                  <c:v>0.22354928675907132</c:v>
                </c:pt>
                <c:pt idx="10">
                  <c:v>0.12006143709375834</c:v>
                </c:pt>
                <c:pt idx="11">
                  <c:v>0.46665049721076884</c:v>
                </c:pt>
                <c:pt idx="12">
                  <c:v>0.61299999999999999</c:v>
                </c:pt>
                <c:pt idx="13">
                  <c:v>0.23188405797101452</c:v>
                </c:pt>
                <c:pt idx="14">
                  <c:v>9.4799999999999995E-2</c:v>
                </c:pt>
                <c:pt idx="15">
                  <c:v>6.4000000000000003E-3</c:v>
                </c:pt>
                <c:pt idx="16">
                  <c:v>9.3544461983688501E-2</c:v>
                </c:pt>
                <c:pt idx="17">
                  <c:v>0.20199999999999999</c:v>
                </c:pt>
                <c:pt idx="18">
                  <c:v>0.57499999999999996</c:v>
                </c:pt>
                <c:pt idx="20">
                  <c:v>0.3058178725554096</c:v>
                </c:pt>
                <c:pt idx="22">
                  <c:v>0.12</c:v>
                </c:pt>
                <c:pt idx="23">
                  <c:v>0.87521494218796325</c:v>
                </c:pt>
                <c:pt idx="24">
                  <c:v>0.49664813098548038</c:v>
                </c:pt>
                <c:pt idx="25">
                  <c:v>0.08</c:v>
                </c:pt>
              </c:numCache>
            </c:numRef>
          </c:yVal>
          <c:smooth val="0"/>
          <c:extLst>
            <c:ext xmlns:c16="http://schemas.microsoft.com/office/drawing/2014/chart" uri="{C3380CC4-5D6E-409C-BE32-E72D297353CC}">
              <c16:uniqueId val="{00000006-0DBF-4682-AE27-15E973F4F973}"/>
            </c:ext>
          </c:extLst>
        </c:ser>
        <c:dLbls>
          <c:showLegendKey val="0"/>
          <c:showVal val="0"/>
          <c:showCatName val="0"/>
          <c:showSerName val="0"/>
          <c:showPercent val="0"/>
          <c:showBubbleSize val="0"/>
        </c:dLbls>
        <c:axId val="427520463"/>
        <c:axId val="364281199"/>
      </c:scatterChart>
      <c:catAx>
        <c:axId val="42516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67055"/>
        <c:crosses val="autoZero"/>
        <c:auto val="1"/>
        <c:lblAlgn val="ctr"/>
        <c:lblOffset val="100"/>
        <c:noMultiLvlLbl val="0"/>
      </c:catAx>
      <c:valAx>
        <c:axId val="364267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60607"/>
        <c:crosses val="autoZero"/>
        <c:crossBetween val="between"/>
      </c:valAx>
      <c:valAx>
        <c:axId val="36428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0463"/>
        <c:crosses val="max"/>
        <c:crossBetween val="midCat"/>
      </c:valAx>
      <c:valAx>
        <c:axId val="427520463"/>
        <c:scaling>
          <c:orientation val="minMax"/>
        </c:scaling>
        <c:delete val="1"/>
        <c:axPos val="b"/>
        <c:majorTickMark val="out"/>
        <c:minorTickMark val="none"/>
        <c:tickLblPos val="nextTo"/>
        <c:crossAx val="364281199"/>
        <c:crosses val="autoZero"/>
        <c:crossBetween val="midCat"/>
      </c:valAx>
      <c:spPr>
        <a:noFill/>
        <a:ln>
          <a:noFill/>
        </a:ln>
        <a:effectLst/>
      </c:spPr>
    </c:plotArea>
    <c:legend>
      <c:legendPos val="r"/>
      <c:layout>
        <c:manualLayout>
          <c:xMode val="edge"/>
          <c:yMode val="edge"/>
          <c:x val="0.68961731479242783"/>
          <c:y val="0.22830469939184819"/>
          <c:w val="0.29916249050627225"/>
          <c:h val="0.45022553100315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27989922312342"/>
          <c:y val="3.5859826380972196E-2"/>
          <c:w val="0.640678336260599"/>
          <c:h val="0.74763304587285961"/>
        </c:manualLayout>
      </c:layout>
      <c:barChart>
        <c:barDir val="col"/>
        <c:grouping val="clustered"/>
        <c:varyColors val="0"/>
        <c:ser>
          <c:idx val="0"/>
          <c:order val="0"/>
          <c:tx>
            <c:strRef>
              <c:f>'Figure 4-5'!$B$1</c:f>
              <c:strCache>
                <c:ptCount val="1"/>
                <c:pt idx="0">
                  <c:v>Trench length (km)</c:v>
                </c:pt>
              </c:strCache>
            </c:strRef>
          </c:tx>
          <c:spPr>
            <a:solidFill>
              <a:schemeClr val="accent1"/>
            </a:solidFill>
            <a:ln>
              <a:noFill/>
            </a:ln>
            <a:effectLst/>
          </c:spPr>
          <c:invertIfNegative val="0"/>
          <c:cat>
            <c:strRef>
              <c:f>'Figure 4-5'!$A$2:$A$27</c:f>
              <c:strCache>
                <c:ptCount val="26"/>
                <c:pt idx="0">
                  <c:v>Denmark </c:v>
                </c:pt>
                <c:pt idx="1">
                  <c:v>Germany </c:v>
                </c:pt>
                <c:pt idx="2">
                  <c:v>Sweden </c:v>
                </c:pt>
                <c:pt idx="3">
                  <c:v>Poland </c:v>
                </c:pt>
                <c:pt idx="4">
                  <c:v>Finland </c:v>
                </c:pt>
                <c:pt idx="5">
                  <c:v>Ukraine </c:v>
                </c:pt>
                <c:pt idx="6">
                  <c:v>Czech Republic </c:v>
                </c:pt>
                <c:pt idx="7">
                  <c:v>Romania </c:v>
                </c:pt>
                <c:pt idx="8">
                  <c:v>France </c:v>
                </c:pt>
                <c:pt idx="9">
                  <c:v>Austria  </c:v>
                </c:pt>
                <c:pt idx="10">
                  <c:v>Netherlands </c:v>
                </c:pt>
                <c:pt idx="11">
                  <c:v>Italy </c:v>
                </c:pt>
                <c:pt idx="12">
                  <c:v>Bulgaria </c:v>
                </c:pt>
                <c:pt idx="13">
                  <c:v>Lithuania </c:v>
                </c:pt>
                <c:pt idx="14">
                  <c:v>Iceland </c:v>
                </c:pt>
                <c:pt idx="15">
                  <c:v>Hungary </c:v>
                </c:pt>
                <c:pt idx="16">
                  <c:v>Norway </c:v>
                </c:pt>
                <c:pt idx="17">
                  <c:v>UK</c:v>
                </c:pt>
                <c:pt idx="18">
                  <c:v>Latvia </c:v>
                </c:pt>
                <c:pt idx="19">
                  <c:v>Estonia </c:v>
                </c:pt>
                <c:pt idx="20">
                  <c:v>Slovakia </c:v>
                </c:pt>
                <c:pt idx="21">
                  <c:v>Slovenia </c:v>
                </c:pt>
                <c:pt idx="22">
                  <c:v>Spain </c:v>
                </c:pt>
                <c:pt idx="23">
                  <c:v>Croatia </c:v>
                </c:pt>
                <c:pt idx="24">
                  <c:v>Greece </c:v>
                </c:pt>
                <c:pt idx="25">
                  <c:v>Portugal </c:v>
                </c:pt>
              </c:strCache>
            </c:strRef>
          </c:cat>
          <c:val>
            <c:numRef>
              <c:f>'Figure 4-5'!$B$2:$B$27</c:f>
              <c:numCache>
                <c:formatCode>General</c:formatCode>
                <c:ptCount val="26"/>
                <c:pt idx="0">
                  <c:v>30800</c:v>
                </c:pt>
                <c:pt idx="1">
                  <c:v>28629</c:v>
                </c:pt>
                <c:pt idx="2">
                  <c:v>24000</c:v>
                </c:pt>
                <c:pt idx="3">
                  <c:v>21367</c:v>
                </c:pt>
                <c:pt idx="4">
                  <c:v>15140</c:v>
                </c:pt>
                <c:pt idx="5">
                  <c:v>13682</c:v>
                </c:pt>
                <c:pt idx="6">
                  <c:v>7517</c:v>
                </c:pt>
                <c:pt idx="7">
                  <c:v>7250</c:v>
                </c:pt>
                <c:pt idx="8">
                  <c:v>5781</c:v>
                </c:pt>
                <c:pt idx="9">
                  <c:v>5500</c:v>
                </c:pt>
                <c:pt idx="10">
                  <c:v>4000</c:v>
                </c:pt>
                <c:pt idx="11">
                  <c:v>4446</c:v>
                </c:pt>
                <c:pt idx="12">
                  <c:v>3095</c:v>
                </c:pt>
                <c:pt idx="13">
                  <c:v>2775</c:v>
                </c:pt>
                <c:pt idx="14">
                  <c:v>2200</c:v>
                </c:pt>
                <c:pt idx="15">
                  <c:v>1951</c:v>
                </c:pt>
                <c:pt idx="16">
                  <c:v>1931</c:v>
                </c:pt>
                <c:pt idx="17">
                  <c:v>1800</c:v>
                </c:pt>
                <c:pt idx="18">
                  <c:v>1700</c:v>
                </c:pt>
                <c:pt idx="19">
                  <c:v>1450</c:v>
                </c:pt>
                <c:pt idx="20">
                  <c:v>1400</c:v>
                </c:pt>
                <c:pt idx="21">
                  <c:v>897.5</c:v>
                </c:pt>
                <c:pt idx="22">
                  <c:v>740</c:v>
                </c:pt>
                <c:pt idx="23">
                  <c:v>440</c:v>
                </c:pt>
                <c:pt idx="24">
                  <c:v>200</c:v>
                </c:pt>
                <c:pt idx="25">
                  <c:v>24</c:v>
                </c:pt>
              </c:numCache>
            </c:numRef>
          </c:val>
          <c:extLst>
            <c:ext xmlns:c16="http://schemas.microsoft.com/office/drawing/2014/chart" uri="{C3380CC4-5D6E-409C-BE32-E72D297353CC}">
              <c16:uniqueId val="{00000000-ACC8-4623-AE23-AD5755C58E44}"/>
            </c:ext>
          </c:extLst>
        </c:ser>
        <c:dLbls>
          <c:showLegendKey val="0"/>
          <c:showVal val="0"/>
          <c:showCatName val="0"/>
          <c:showSerName val="0"/>
          <c:showPercent val="0"/>
          <c:showBubbleSize val="0"/>
        </c:dLbls>
        <c:gapWidth val="219"/>
        <c:overlap val="-27"/>
        <c:axId val="89113552"/>
        <c:axId val="124007968"/>
      </c:barChart>
      <c:scatterChart>
        <c:scatterStyle val="lineMarker"/>
        <c:varyColors val="0"/>
        <c:ser>
          <c:idx val="1"/>
          <c:order val="1"/>
          <c:tx>
            <c:strRef>
              <c:f>'Figure 4-5'!$C$1</c:f>
              <c:strCache>
                <c:ptCount val="1"/>
                <c:pt idx="0">
                  <c:v>DH Length density (km/1.000 residents)</c:v>
                </c:pt>
              </c:strCache>
            </c:strRef>
          </c:tx>
          <c:spPr>
            <a:ln w="25400" cap="rnd">
              <a:noFill/>
              <a:round/>
            </a:ln>
            <a:effectLst/>
          </c:spPr>
          <c:marker>
            <c:symbol val="diamond"/>
            <c:size val="7"/>
            <c:spPr>
              <a:solidFill>
                <a:schemeClr val="accent2"/>
              </a:solidFill>
              <a:ln w="9525">
                <a:solidFill>
                  <a:schemeClr val="accent2"/>
                </a:solidFill>
              </a:ln>
              <a:effectLst/>
            </c:spPr>
          </c:marker>
          <c:xVal>
            <c:strRef>
              <c:f>'Figure 4-5'!$A$2:$A$27</c:f>
              <c:strCache>
                <c:ptCount val="26"/>
                <c:pt idx="0">
                  <c:v>Denmark </c:v>
                </c:pt>
                <c:pt idx="1">
                  <c:v>Germany </c:v>
                </c:pt>
                <c:pt idx="2">
                  <c:v>Sweden </c:v>
                </c:pt>
                <c:pt idx="3">
                  <c:v>Poland </c:v>
                </c:pt>
                <c:pt idx="4">
                  <c:v>Finland </c:v>
                </c:pt>
                <c:pt idx="5">
                  <c:v>Ukraine </c:v>
                </c:pt>
                <c:pt idx="6">
                  <c:v>Czech Republic </c:v>
                </c:pt>
                <c:pt idx="7">
                  <c:v>Romania </c:v>
                </c:pt>
                <c:pt idx="8">
                  <c:v>France </c:v>
                </c:pt>
                <c:pt idx="9">
                  <c:v>Austria  </c:v>
                </c:pt>
                <c:pt idx="10">
                  <c:v>Netherlands </c:v>
                </c:pt>
                <c:pt idx="11">
                  <c:v>Italy </c:v>
                </c:pt>
                <c:pt idx="12">
                  <c:v>Bulgaria </c:v>
                </c:pt>
                <c:pt idx="13">
                  <c:v>Lithuania </c:v>
                </c:pt>
                <c:pt idx="14">
                  <c:v>Iceland </c:v>
                </c:pt>
                <c:pt idx="15">
                  <c:v>Hungary </c:v>
                </c:pt>
                <c:pt idx="16">
                  <c:v>Norway </c:v>
                </c:pt>
                <c:pt idx="17">
                  <c:v>UK</c:v>
                </c:pt>
                <c:pt idx="18">
                  <c:v>Latvia </c:v>
                </c:pt>
                <c:pt idx="19">
                  <c:v>Estonia </c:v>
                </c:pt>
                <c:pt idx="20">
                  <c:v>Slovakia </c:v>
                </c:pt>
                <c:pt idx="21">
                  <c:v>Slovenia </c:v>
                </c:pt>
                <c:pt idx="22">
                  <c:v>Spain </c:v>
                </c:pt>
                <c:pt idx="23">
                  <c:v>Croatia </c:v>
                </c:pt>
                <c:pt idx="24">
                  <c:v>Greece </c:v>
                </c:pt>
                <c:pt idx="25">
                  <c:v>Portugal </c:v>
                </c:pt>
              </c:strCache>
            </c:strRef>
          </c:xVal>
          <c:yVal>
            <c:numRef>
              <c:f>'Figure 4-5'!$C$2:$C$27</c:f>
              <c:numCache>
                <c:formatCode>_(* #,##0.00_);_(* \(#,##0.00\);_(* "-"??_);_(@_)</c:formatCode>
                <c:ptCount val="26"/>
                <c:pt idx="0">
                  <c:v>5.3047830369572866</c:v>
                </c:pt>
                <c:pt idx="1">
                  <c:v>0.3448478847902352</c:v>
                </c:pt>
                <c:pt idx="2">
                  <c:v>2.3459986305232996</c:v>
                </c:pt>
                <c:pt idx="3">
                  <c:v>0.56269206504906721</c:v>
                </c:pt>
                <c:pt idx="4">
                  <c:v>2.7437880113861768</c:v>
                </c:pt>
                <c:pt idx="5">
                  <c:v>0.32588943616125587</c:v>
                </c:pt>
                <c:pt idx="6">
                  <c:v>0.70583485135871105</c:v>
                </c:pt>
                <c:pt idx="7">
                  <c:v>0.37343303634847808</c:v>
                </c:pt>
                <c:pt idx="8">
                  <c:v>8.6266994362860047E-2</c:v>
                </c:pt>
                <c:pt idx="9">
                  <c:v>0.62085333468792248</c:v>
                </c:pt>
                <c:pt idx="10">
                  <c:v>0.2314525097350372</c:v>
                </c:pt>
                <c:pt idx="11">
                  <c:v>7.3658605715821654E-2</c:v>
                </c:pt>
                <c:pt idx="12">
                  <c:v>0.44214039378923464</c:v>
                </c:pt>
                <c:pt idx="13">
                  <c:v>0.99313431041048117</c:v>
                </c:pt>
                <c:pt idx="14">
                  <c:v>6.1626203461711926</c:v>
                </c:pt>
                <c:pt idx="15">
                  <c:v>0.1996366224635098</c:v>
                </c:pt>
                <c:pt idx="16">
                  <c:v>0.36241050468712577</c:v>
                </c:pt>
                <c:pt idx="17">
                  <c:v>2.7007921963670387E-2</c:v>
                </c:pt>
                <c:pt idx="18">
                  <c:v>0.8854314238570643</c:v>
                </c:pt>
                <c:pt idx="19">
                  <c:v>1.0944883078455943</c:v>
                </c:pt>
                <c:pt idx="20">
                  <c:v>0.25686089203017526</c:v>
                </c:pt>
                <c:pt idx="21">
                  <c:v>0.43130210465815888</c:v>
                </c:pt>
                <c:pt idx="22">
                  <c:v>1.5765793596786846E-2</c:v>
                </c:pt>
                <c:pt idx="23">
                  <c:v>0.10794245489599989</c:v>
                </c:pt>
                <c:pt idx="24">
                  <c:v>1.8648715910030762E-2</c:v>
                </c:pt>
                <c:pt idx="25">
                  <c:v>2.3353988963488665E-3</c:v>
                </c:pt>
              </c:numCache>
            </c:numRef>
          </c:yVal>
          <c:smooth val="0"/>
          <c:extLst>
            <c:ext xmlns:c16="http://schemas.microsoft.com/office/drawing/2014/chart" uri="{C3380CC4-5D6E-409C-BE32-E72D297353CC}">
              <c16:uniqueId val="{00000003-ACC8-4623-AE23-AD5755C58E44}"/>
            </c:ext>
          </c:extLst>
        </c:ser>
        <c:dLbls>
          <c:showLegendKey val="0"/>
          <c:showVal val="0"/>
          <c:showCatName val="0"/>
          <c:showSerName val="0"/>
          <c:showPercent val="0"/>
          <c:showBubbleSize val="0"/>
        </c:dLbls>
        <c:axId val="314164416"/>
        <c:axId val="119453904"/>
      </c:scatterChart>
      <c:catAx>
        <c:axId val="8911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crossAx val="124007968"/>
        <c:crosses val="autoZero"/>
        <c:auto val="1"/>
        <c:lblAlgn val="ctr"/>
        <c:lblOffset val="100"/>
        <c:noMultiLvlLbl val="0"/>
      </c:catAx>
      <c:valAx>
        <c:axId val="124007968"/>
        <c:scaling>
          <c:orientation val="minMax"/>
          <c:max val="3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de-DE"/>
                  <a:t>Trench length (km)</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crossAx val="89113552"/>
        <c:crosses val="autoZero"/>
        <c:crossBetween val="between"/>
      </c:valAx>
      <c:valAx>
        <c:axId val="119453904"/>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de-DE"/>
                  <a:t>Length density (km/1.000 residents)</a:t>
                </a:r>
              </a:p>
            </c:rich>
          </c:tx>
          <c:layout>
            <c:manualLayout>
              <c:xMode val="edge"/>
              <c:yMode val="edge"/>
              <c:x val="0.81586091212282674"/>
              <c:y val="8.493419951204177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_-* #,##0.0_-;\-* #,##0.0_-;_-* &quot;-&quot;?_-;_-@_-"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crossAx val="314164416"/>
        <c:crosses val="max"/>
        <c:crossBetween val="midCat"/>
      </c:valAx>
      <c:valAx>
        <c:axId val="314164416"/>
        <c:scaling>
          <c:orientation val="minMax"/>
        </c:scaling>
        <c:delete val="1"/>
        <c:axPos val="b"/>
        <c:numFmt formatCode="General" sourceLinked="1"/>
        <c:majorTickMark val="out"/>
        <c:minorTickMark val="none"/>
        <c:tickLblPos val="nextTo"/>
        <c:crossAx val="119453904"/>
        <c:crosses val="autoZero"/>
        <c:crossBetween val="midCat"/>
      </c:valAx>
      <c:spPr>
        <a:noFill/>
        <a:ln>
          <a:noFill/>
        </a:ln>
        <a:effectLst/>
      </c:spPr>
    </c:plotArea>
    <c:legend>
      <c:legendPos val="r"/>
      <c:layout>
        <c:manualLayout>
          <c:xMode val="edge"/>
          <c:yMode val="edge"/>
          <c:x val="0.85285628770087951"/>
          <c:y val="0.18494917469859928"/>
          <c:w val="0.13464369585380775"/>
          <c:h val="0.4809030238233940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200">
          <a:latin typeface="Verdana" panose="020B0604030504040204" pitchFamily="34" charset="0"/>
          <a:ea typeface="Verdana" panose="020B0604030504040204" pitchFamily="34" charset="0"/>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de-DE"/>
              <a:t>Served citizens per trench length</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 4-5'!$A$34:$A$57</c:f>
              <c:strCache>
                <c:ptCount val="24"/>
                <c:pt idx="0">
                  <c:v>Ukraine </c:v>
                </c:pt>
                <c:pt idx="1">
                  <c:v>Slovakia </c:v>
                </c:pt>
                <c:pt idx="2">
                  <c:v>Italy </c:v>
                </c:pt>
                <c:pt idx="3">
                  <c:v>Croatia </c:v>
                </c:pt>
                <c:pt idx="4">
                  <c:v>France </c:v>
                </c:pt>
                <c:pt idx="5">
                  <c:v>Hungary </c:v>
                </c:pt>
                <c:pt idx="6">
                  <c:v>Poland </c:v>
                </c:pt>
                <c:pt idx="7">
                  <c:v>Lithuania </c:v>
                </c:pt>
                <c:pt idx="8">
                  <c:v>Czech Republic </c:v>
                </c:pt>
                <c:pt idx="9">
                  <c:v>Romania </c:v>
                </c:pt>
                <c:pt idx="10">
                  <c:v>Estonia </c:v>
                </c:pt>
                <c:pt idx="11">
                  <c:v>Germany </c:v>
                </c:pt>
                <c:pt idx="12">
                  <c:v> EU-27</c:v>
                </c:pt>
                <c:pt idx="13">
                  <c:v>Austria  </c:v>
                </c:pt>
                <c:pt idx="14">
                  <c:v>Bulgaria </c:v>
                </c:pt>
                <c:pt idx="15">
                  <c:v>Latvia </c:v>
                </c:pt>
                <c:pt idx="16">
                  <c:v>UK</c:v>
                </c:pt>
                <c:pt idx="17">
                  <c:v>Slovenia </c:v>
                </c:pt>
                <c:pt idx="18">
                  <c:v>Greece </c:v>
                </c:pt>
                <c:pt idx="19">
                  <c:v>Netherlands </c:v>
                </c:pt>
                <c:pt idx="20">
                  <c:v>Sweden </c:v>
                </c:pt>
                <c:pt idx="21">
                  <c:v>Finland </c:v>
                </c:pt>
                <c:pt idx="22">
                  <c:v>Iceland </c:v>
                </c:pt>
                <c:pt idx="23">
                  <c:v>Denmark </c:v>
                </c:pt>
              </c:strCache>
            </c:strRef>
          </c:cat>
          <c:val>
            <c:numRef>
              <c:f>'Figure 4-5'!$D$2:$D$25</c:f>
              <c:numCache>
                <c:formatCode>0</c:formatCode>
                <c:ptCount val="24"/>
                <c:pt idx="0">
                  <c:v>1780</c:v>
                </c:pt>
                <c:pt idx="1">
                  <c:v>1323.6736714285714</c:v>
                </c:pt>
                <c:pt idx="2">
                  <c:v>1079.4553681073025</c:v>
                </c:pt>
                <c:pt idx="3">
                  <c:v>1000.5331090909091</c:v>
                </c:pt>
                <c:pt idx="4">
                  <c:v>927.35350977339556</c:v>
                </c:pt>
                <c:pt idx="5">
                  <c:v>851.54716555612504</c:v>
                </c:pt>
                <c:pt idx="6">
                  <c:v>764.18351476576026</c:v>
                </c:pt>
                <c:pt idx="7">
                  <c:v>573.94049729729727</c:v>
                </c:pt>
                <c:pt idx="8">
                  <c:v>566.70480244778503</c:v>
                </c:pt>
                <c:pt idx="9">
                  <c:v>535.57125517241377</c:v>
                </c:pt>
                <c:pt idx="10">
                  <c:v>493.38124137931038</c:v>
                </c:pt>
                <c:pt idx="11">
                  <c:v>429.1747362464634</c:v>
                </c:pt>
                <c:pt idx="12">
                  <c:v>424</c:v>
                </c:pt>
                <c:pt idx="13">
                  <c:v>419</c:v>
                </c:pt>
                <c:pt idx="14">
                  <c:v>407.11050726978999</c:v>
                </c:pt>
                <c:pt idx="15">
                  <c:v>395.28752941176464</c:v>
                </c:pt>
                <c:pt idx="16">
                  <c:v>370</c:v>
                </c:pt>
                <c:pt idx="17">
                  <c:v>347.78406685236769</c:v>
                </c:pt>
                <c:pt idx="18">
                  <c:v>289.56417299999998</c:v>
                </c:pt>
                <c:pt idx="19">
                  <c:v>241.95028200000002</c:v>
                </c:pt>
                <c:pt idx="20">
                  <c:v>213</c:v>
                </c:pt>
                <c:pt idx="21">
                  <c:v>185.8744180977543</c:v>
                </c:pt>
                <c:pt idx="22">
                  <c:v>149</c:v>
                </c:pt>
                <c:pt idx="23">
                  <c:v>122.53093019480519</c:v>
                </c:pt>
              </c:numCache>
            </c:numRef>
          </c:val>
          <c:extLst>
            <c:ext xmlns:c16="http://schemas.microsoft.com/office/drawing/2014/chart" uri="{C3380CC4-5D6E-409C-BE32-E72D297353CC}">
              <c16:uniqueId val="{00000000-66E0-4ACE-9B0D-89AC75E8170E}"/>
            </c:ext>
          </c:extLst>
        </c:ser>
        <c:dLbls>
          <c:showLegendKey val="0"/>
          <c:showVal val="0"/>
          <c:showCatName val="0"/>
          <c:showSerName val="0"/>
          <c:showPercent val="0"/>
          <c:showBubbleSize val="0"/>
        </c:dLbls>
        <c:gapWidth val="182"/>
        <c:axId val="230162095"/>
        <c:axId val="364293263"/>
      </c:barChart>
      <c:catAx>
        <c:axId val="230162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crossAx val="364293263"/>
        <c:crosses val="autoZero"/>
        <c:auto val="1"/>
        <c:lblAlgn val="ctr"/>
        <c:lblOffset val="100"/>
        <c:noMultiLvlLbl val="0"/>
      </c:catAx>
      <c:valAx>
        <c:axId val="364293263"/>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crossAx val="23016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sz="1050">
          <a:latin typeface="Verdana" panose="020B0604030504040204" pitchFamily="34" charset="0"/>
          <a:ea typeface="Verdana" panose="020B0604030504040204" pitchFamily="34" charset="0"/>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DH final energy consumption in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 DH Consumption'!$O$3:$O$29</c:f>
              <c:strCache>
                <c:ptCount val="27"/>
                <c:pt idx="0">
                  <c:v>Germany </c:v>
                </c:pt>
                <c:pt idx="1">
                  <c:v>Poland </c:v>
                </c:pt>
                <c:pt idx="2">
                  <c:v>Sweden </c:v>
                </c:pt>
                <c:pt idx="3">
                  <c:v>Finland </c:v>
                </c:pt>
                <c:pt idx="4">
                  <c:v>Denmark </c:v>
                </c:pt>
                <c:pt idx="5">
                  <c:v>France </c:v>
                </c:pt>
                <c:pt idx="6">
                  <c:v>Austria  </c:v>
                </c:pt>
                <c:pt idx="7">
                  <c:v>Czech Republic </c:v>
                </c:pt>
                <c:pt idx="8">
                  <c:v>Slovakia </c:v>
                </c:pt>
                <c:pt idx="9">
                  <c:v>Romania </c:v>
                </c:pt>
                <c:pt idx="10">
                  <c:v>Italy </c:v>
                </c:pt>
                <c:pt idx="11">
                  <c:v>Lithuania </c:v>
                </c:pt>
                <c:pt idx="12">
                  <c:v>Hungary </c:v>
                </c:pt>
                <c:pt idx="13">
                  <c:v>Latvia </c:v>
                </c:pt>
                <c:pt idx="14">
                  <c:v>Netherlands </c:v>
                </c:pt>
                <c:pt idx="15">
                  <c:v>Bulgaria </c:v>
                </c:pt>
                <c:pt idx="16">
                  <c:v>Estonia </c:v>
                </c:pt>
                <c:pt idx="17">
                  <c:v>Croatia </c:v>
                </c:pt>
                <c:pt idx="18">
                  <c:v>Slovenia </c:v>
                </c:pt>
                <c:pt idx="19">
                  <c:v>Luxembourg </c:v>
                </c:pt>
                <c:pt idx="20">
                  <c:v>Spain </c:v>
                </c:pt>
                <c:pt idx="21">
                  <c:v> Belgium (Flanders) </c:v>
                </c:pt>
                <c:pt idx="22">
                  <c:v>Greece </c:v>
                </c:pt>
                <c:pt idx="23">
                  <c:v>Portugal </c:v>
                </c:pt>
                <c:pt idx="24">
                  <c:v>Cyprus  </c:v>
                </c:pt>
                <c:pt idx="25">
                  <c:v>Ireland </c:v>
                </c:pt>
                <c:pt idx="26">
                  <c:v>Malta </c:v>
                </c:pt>
              </c:strCache>
            </c:strRef>
          </c:cat>
          <c:val>
            <c:numRef>
              <c:f>'1 DH Consumption'!$P$3:$P$29</c:f>
              <c:numCache>
                <c:formatCode>#,##0</c:formatCode>
                <c:ptCount val="27"/>
                <c:pt idx="0">
                  <c:v>124122</c:v>
                </c:pt>
                <c:pt idx="1">
                  <c:v>64849</c:v>
                </c:pt>
                <c:pt idx="2">
                  <c:v>50951</c:v>
                </c:pt>
                <c:pt idx="3">
                  <c:v>33500</c:v>
                </c:pt>
                <c:pt idx="4">
                  <c:v>30554</c:v>
                </c:pt>
                <c:pt idx="5">
                  <c:v>25400</c:v>
                </c:pt>
                <c:pt idx="6">
                  <c:v>19500</c:v>
                </c:pt>
                <c:pt idx="7">
                  <c:v>17986</c:v>
                </c:pt>
                <c:pt idx="8">
                  <c:v>14271</c:v>
                </c:pt>
                <c:pt idx="9">
                  <c:v>9887</c:v>
                </c:pt>
                <c:pt idx="10">
                  <c:v>9289</c:v>
                </c:pt>
                <c:pt idx="11">
                  <c:v>7645</c:v>
                </c:pt>
                <c:pt idx="12">
                  <c:v>7206</c:v>
                </c:pt>
                <c:pt idx="13">
                  <c:v>6757</c:v>
                </c:pt>
                <c:pt idx="14">
                  <c:v>6333</c:v>
                </c:pt>
                <c:pt idx="15">
                  <c:v>5691</c:v>
                </c:pt>
                <c:pt idx="16">
                  <c:v>5583</c:v>
                </c:pt>
                <c:pt idx="17">
                  <c:v>1998</c:v>
                </c:pt>
                <c:pt idx="18">
                  <c:v>1897</c:v>
                </c:pt>
                <c:pt idx="19">
                  <c:v>860</c:v>
                </c:pt>
                <c:pt idx="20">
                  <c:v>535</c:v>
                </c:pt>
                <c:pt idx="21">
                  <c:v>355</c:v>
                </c:pt>
                <c:pt idx="22">
                  <c:v>340</c:v>
                </c:pt>
                <c:pt idx="23">
                  <c:v>43</c:v>
                </c:pt>
              </c:numCache>
            </c:numRef>
          </c:val>
          <c:extLst>
            <c:ext xmlns:c16="http://schemas.microsoft.com/office/drawing/2014/chart" uri="{C3380CC4-5D6E-409C-BE32-E72D297353CC}">
              <c16:uniqueId val="{00000000-9183-4FF6-B5BC-0C4A84D76B20}"/>
            </c:ext>
          </c:extLst>
        </c:ser>
        <c:dLbls>
          <c:showLegendKey val="0"/>
          <c:showVal val="0"/>
          <c:showCatName val="0"/>
          <c:showSerName val="0"/>
          <c:showPercent val="0"/>
          <c:showBubbleSize val="0"/>
        </c:dLbls>
        <c:gapWidth val="219"/>
        <c:overlap val="-27"/>
        <c:axId val="1286408127"/>
        <c:axId val="1286400639"/>
      </c:barChart>
      <c:catAx>
        <c:axId val="128640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00639"/>
        <c:crosses val="autoZero"/>
        <c:auto val="1"/>
        <c:lblAlgn val="ctr"/>
        <c:lblOffset val="100"/>
        <c:noMultiLvlLbl val="0"/>
      </c:catAx>
      <c:valAx>
        <c:axId val="128640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08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28576</xdr:colOff>
      <xdr:row>34</xdr:row>
      <xdr:rowOff>17804</xdr:rowOff>
    </xdr:from>
    <xdr:to>
      <xdr:col>1</xdr:col>
      <xdr:colOff>296626</xdr:colOff>
      <xdr:row>36</xdr:row>
      <xdr:rowOff>68580</xdr:rowOff>
    </xdr:to>
    <xdr:pic>
      <xdr:nvPicPr>
        <xdr:cNvPr id="5" name="Grafik 2" descr="G:\Intern\Corporate Identity\Logo\Tilia\Tilia-fuer-Excel.jpg">
          <a:extLst>
            <a:ext uri="{FF2B5EF4-FFF2-40B4-BE49-F238E27FC236}">
              <a16:creationId xmlns:a16="http://schemas.microsoft.com/office/drawing/2014/main" id="{22C12554-0D6A-41FA-B2FA-FB4D1DABB3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6" y="7508264"/>
          <a:ext cx="1052910" cy="416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393176</xdr:colOff>
      <xdr:row>34</xdr:row>
      <xdr:rowOff>65429</xdr:rowOff>
    </xdr:from>
    <xdr:to>
      <xdr:col>2</xdr:col>
      <xdr:colOff>708660</xdr:colOff>
      <xdr:row>36</xdr:row>
      <xdr:rowOff>76200</xdr:rowOff>
    </xdr:to>
    <xdr:pic>
      <xdr:nvPicPr>
        <xdr:cNvPr id="6" name="Image 17">
          <a:extLst>
            <a:ext uri="{FF2B5EF4-FFF2-40B4-BE49-F238E27FC236}">
              <a16:creationId xmlns:a16="http://schemas.microsoft.com/office/drawing/2014/main" id="{6B81157D-F9DF-486B-9C2C-EE435D7B0BB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22986" b="4514"/>
        <a:stretch/>
      </xdr:blipFill>
      <xdr:spPr bwMode="auto">
        <a:xfrm>
          <a:off x="1178036" y="7555889"/>
          <a:ext cx="1100344" cy="376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230256</xdr:colOff>
      <xdr:row>34</xdr:row>
      <xdr:rowOff>0</xdr:rowOff>
    </xdr:from>
    <xdr:to>
      <xdr:col>4</xdr:col>
      <xdr:colOff>752753</xdr:colOff>
      <xdr:row>36</xdr:row>
      <xdr:rowOff>129540</xdr:rowOff>
    </xdr:to>
    <xdr:pic>
      <xdr:nvPicPr>
        <xdr:cNvPr id="7" name="Image 696">
          <a:extLst>
            <a:ext uri="{FF2B5EF4-FFF2-40B4-BE49-F238E27FC236}">
              <a16:creationId xmlns:a16="http://schemas.microsoft.com/office/drawing/2014/main" id="{F23F666B-E07E-4B3B-8E2C-6ECAAA9D8D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52576" y="7489215"/>
          <a:ext cx="522497" cy="496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214937</xdr:colOff>
      <xdr:row>34</xdr:row>
      <xdr:rowOff>65429</xdr:rowOff>
    </xdr:from>
    <xdr:to>
      <xdr:col>6</xdr:col>
      <xdr:colOff>662612</xdr:colOff>
      <xdr:row>36</xdr:row>
      <xdr:rowOff>94004</xdr:rowOff>
    </xdr:to>
    <xdr:pic>
      <xdr:nvPicPr>
        <xdr:cNvPr id="9" name="Image 2">
          <a:extLst>
            <a:ext uri="{FF2B5EF4-FFF2-40B4-BE49-F238E27FC236}">
              <a16:creationId xmlns:a16="http://schemas.microsoft.com/office/drawing/2014/main" id="{0F638DA5-AD66-48A1-8EBD-95E41A29D89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05912" y="7761629"/>
          <a:ext cx="1209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0</xdr:row>
      <xdr:rowOff>38100</xdr:rowOff>
    </xdr:from>
    <xdr:to>
      <xdr:col>6</xdr:col>
      <xdr:colOff>731480</xdr:colOff>
      <xdr:row>8</xdr:row>
      <xdr:rowOff>145773</xdr:rowOff>
    </xdr:to>
    <xdr:pic>
      <xdr:nvPicPr>
        <xdr:cNvPr id="10" name="Picture 227">
          <a:extLst>
            <a:ext uri="{FF2B5EF4-FFF2-40B4-BE49-F238E27FC236}">
              <a16:creationId xmlns:a16="http://schemas.microsoft.com/office/drawing/2014/main" id="{F6A0E93A-6CFD-4486-A6E1-80B2283CA09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7625" y="38100"/>
          <a:ext cx="5436830" cy="19078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840107</xdr:colOff>
      <xdr:row>34</xdr:row>
      <xdr:rowOff>76200</xdr:rowOff>
    </xdr:from>
    <xdr:to>
      <xdr:col>4</xdr:col>
      <xdr:colOff>4355</xdr:colOff>
      <xdr:row>36</xdr:row>
      <xdr:rowOff>91440</xdr:rowOff>
    </xdr:to>
    <xdr:pic>
      <xdr:nvPicPr>
        <xdr:cNvPr id="14" name="Grafik 13">
          <a:extLst>
            <a:ext uri="{FF2B5EF4-FFF2-40B4-BE49-F238E27FC236}">
              <a16:creationId xmlns:a16="http://schemas.microsoft.com/office/drawing/2014/main" id="{CFFCC86A-49BD-4CE3-AA12-32B66CA591D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409827" y="7566660"/>
          <a:ext cx="893988"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110610</xdr:colOff>
      <xdr:row>29</xdr:row>
      <xdr:rowOff>111976</xdr:rowOff>
    </xdr:from>
    <xdr:to>
      <xdr:col>8</xdr:col>
      <xdr:colOff>676728</xdr:colOff>
      <xdr:row>53</xdr:row>
      <xdr:rowOff>75976</xdr:rowOff>
    </xdr:to>
    <xdr:graphicFrame macro="">
      <xdr:nvGraphicFramePr>
        <xdr:cNvPr id="3" name="Diagramm 2">
          <a:extLst>
            <a:ext uri="{FF2B5EF4-FFF2-40B4-BE49-F238E27FC236}">
              <a16:creationId xmlns:a16="http://schemas.microsoft.com/office/drawing/2014/main" id="{97C57C98-32C1-45BE-8781-F9F932396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32596</xdr:colOff>
      <xdr:row>29</xdr:row>
      <xdr:rowOff>62653</xdr:rowOff>
    </xdr:from>
    <xdr:to>
      <xdr:col>19</xdr:col>
      <xdr:colOff>374596</xdr:colOff>
      <xdr:row>53</xdr:row>
      <xdr:rowOff>28017</xdr:rowOff>
    </xdr:to>
    <xdr:graphicFrame macro="">
      <xdr:nvGraphicFramePr>
        <xdr:cNvPr id="4" name="Diagramm 3">
          <a:extLst>
            <a:ext uri="{FF2B5EF4-FFF2-40B4-BE49-F238E27FC236}">
              <a16:creationId xmlns:a16="http://schemas.microsoft.com/office/drawing/2014/main" id="{0CAC6F53-38F6-443E-B7E0-371F01686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72275</xdr:colOff>
      <xdr:row>1</xdr:row>
      <xdr:rowOff>2519</xdr:rowOff>
    </xdr:from>
    <xdr:to>
      <xdr:col>28</xdr:col>
      <xdr:colOff>276224</xdr:colOff>
      <xdr:row>26</xdr:row>
      <xdr:rowOff>3734</xdr:rowOff>
    </xdr:to>
    <xdr:graphicFrame macro="">
      <xdr:nvGraphicFramePr>
        <xdr:cNvPr id="3" name="Diagramm 2">
          <a:extLst>
            <a:ext uri="{FF2B5EF4-FFF2-40B4-BE49-F238E27FC236}">
              <a16:creationId xmlns:a16="http://schemas.microsoft.com/office/drawing/2014/main" id="{EE45BFD4-F0E0-42EB-BD86-7410BF75C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28198</xdr:colOff>
      <xdr:row>1</xdr:row>
      <xdr:rowOff>8059</xdr:rowOff>
    </xdr:from>
    <xdr:to>
      <xdr:col>13</xdr:col>
      <xdr:colOff>730198</xdr:colOff>
      <xdr:row>23</xdr:row>
      <xdr:rowOff>137059</xdr:rowOff>
    </xdr:to>
    <xdr:graphicFrame macro="">
      <xdr:nvGraphicFramePr>
        <xdr:cNvPr id="2" name="Diagramm 1">
          <a:extLst>
            <a:ext uri="{FF2B5EF4-FFF2-40B4-BE49-F238E27FC236}">
              <a16:creationId xmlns:a16="http://schemas.microsoft.com/office/drawing/2014/main" id="{F5B3695C-85EC-46D8-98AD-DB3B4DC5A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19049</xdr:colOff>
      <xdr:row>1</xdr:row>
      <xdr:rowOff>14939</xdr:rowOff>
    </xdr:from>
    <xdr:to>
      <xdr:col>24</xdr:col>
      <xdr:colOff>721049</xdr:colOff>
      <xdr:row>23</xdr:row>
      <xdr:rowOff>143939</xdr:rowOff>
    </xdr:to>
    <xdr:graphicFrame macro="">
      <xdr:nvGraphicFramePr>
        <xdr:cNvPr id="4" name="Diagramm 3">
          <a:extLst>
            <a:ext uri="{FF2B5EF4-FFF2-40B4-BE49-F238E27FC236}">
              <a16:creationId xmlns:a16="http://schemas.microsoft.com/office/drawing/2014/main" id="{CF8D48AD-F8BE-47EC-B06A-E023F6079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142875</xdr:colOff>
      <xdr:row>4</xdr:row>
      <xdr:rowOff>179387</xdr:rowOff>
    </xdr:from>
    <xdr:to>
      <xdr:col>13</xdr:col>
      <xdr:colOff>720725</xdr:colOff>
      <xdr:row>19</xdr:row>
      <xdr:rowOff>55562</xdr:rowOff>
    </xdr:to>
    <xdr:graphicFrame macro="">
      <xdr:nvGraphicFramePr>
        <xdr:cNvPr id="3" name="Graphique 2">
          <a:extLst>
            <a:ext uri="{FF2B5EF4-FFF2-40B4-BE49-F238E27FC236}">
              <a16:creationId xmlns:a16="http://schemas.microsoft.com/office/drawing/2014/main" id="{AD44F24B-C4E8-EC80-E369-7C5621087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pp.eurostat.ec.europa.eu/Energy/RENEWABLES%20(Marek)/SHARES%202011/Received/UK_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Cover"/>
      <sheetName val="Menu"/>
      <sheetName val="Target Calculation"/>
      <sheetName val="Additional information"/>
      <sheetName val="Transport (VOLUNTARY)"/>
      <sheetName val="R&amp;W"/>
      <sheetName val="T_R&amp;W"/>
      <sheetName val="Coal"/>
      <sheetName val="T_Coal"/>
      <sheetName val="Gas"/>
      <sheetName val="T_Gas"/>
      <sheetName val="Oil"/>
      <sheetName val="T_Oil"/>
      <sheetName val="El.&amp;H."/>
      <sheetName val="T_El.&amp;H."/>
      <sheetName val="LANGUAGE_MATRIX"/>
      <sheetName val="debug"/>
    </sheetNames>
    <sheetDataSet>
      <sheetData sheetId="0"/>
      <sheetData sheetId="1">
        <row r="15">
          <cell r="B15" t="str">
            <v>Use the EU27 average share of electricity from renewable sources</v>
          </cell>
        </row>
        <row r="121">
          <cell r="Q121">
            <v>1</v>
          </cell>
        </row>
      </sheetData>
      <sheetData sheetId="2">
        <row r="6">
          <cell r="J6" t="str">
            <v>United Kingdom</v>
          </cell>
        </row>
      </sheetData>
      <sheetData sheetId="3">
        <row r="9">
          <cell r="G9">
            <v>32688.515476474808</v>
          </cell>
        </row>
      </sheetData>
      <sheetData sheetId="4">
        <row r="7">
          <cell r="W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5328B5-7CAD-4DAF-B864-B8486AEB6824}" name="Tabelle1" displayName="Tabelle1" ref="A1:E49" totalsRowShown="0" headerRowDxfId="1" tableBorderDxfId="0">
  <autoFilter ref="A1:E49" xr:uid="{10BA0678-E579-46CD-8E04-760EEC36545B}"/>
  <sortState xmlns:xlrd2="http://schemas.microsoft.com/office/spreadsheetml/2017/richdata2" ref="A2:E49">
    <sortCondition ref="B1:B49"/>
  </sortState>
  <tableColumns count="5">
    <tableColumn id="1" xr3:uid="{5F56E656-95F0-436F-BDF2-C85EC670BF59}" name="Number"/>
    <tableColumn id="2" xr3:uid="{D48F84B5-12EF-433B-B3E2-DE2B8636CB68}" name="Country / Region"/>
    <tableColumn id="3" xr3:uid="{7F9A9C8A-7082-45CF-9D53-F47D447C6E20}" name="Source/ Author"/>
    <tableColumn id="4" xr3:uid="{63DF2E4C-3140-41CB-96EC-D906F722D924}" name="Title"/>
    <tableColumn id="5" xr3:uid="{B3413840-F763-445E-A622-515A53D24271}" name="Publication yea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exandre.bacquet@tilia.info" TargetMode="External"/><Relationship Id="rId1" Type="http://schemas.openxmlformats.org/officeDocument/2006/relationships/hyperlink" Target="mailto:e.popovski@irees.de" TargetMode="Externa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439C-C2DE-4078-8B07-FE1219DF4FDB}">
  <dimension ref="A1:G41"/>
  <sheetViews>
    <sheetView zoomScaleNormal="100" workbookViewId="0">
      <selection activeCell="N20" sqref="N20"/>
    </sheetView>
  </sheetViews>
  <sheetFormatPr defaultColWidth="11.44140625" defaultRowHeight="14.4"/>
  <cols>
    <col min="1" max="1" width="11.44140625" style="19"/>
    <col min="2" max="2" width="11.6640625" style="19" bestFit="1" customWidth="1"/>
    <col min="3" max="3" width="14.33203125" style="19" bestFit="1" customWidth="1"/>
    <col min="4" max="16384" width="11.44140625" style="19"/>
  </cols>
  <sheetData>
    <row r="1" spans="1:7">
      <c r="A1" s="20"/>
      <c r="B1" s="21"/>
      <c r="C1" s="21"/>
      <c r="D1" s="21"/>
      <c r="E1" s="21"/>
      <c r="F1" s="21"/>
      <c r="G1" s="22"/>
    </row>
    <row r="2" spans="1:7">
      <c r="A2" s="23"/>
      <c r="G2" s="24"/>
    </row>
    <row r="3" spans="1:7">
      <c r="A3" s="23"/>
      <c r="G3" s="24"/>
    </row>
    <row r="4" spans="1:7">
      <c r="A4" s="23"/>
      <c r="G4" s="24"/>
    </row>
    <row r="5" spans="1:7">
      <c r="A5" s="23"/>
      <c r="G5" s="24"/>
    </row>
    <row r="6" spans="1:7">
      <c r="A6" s="23"/>
      <c r="G6" s="24"/>
    </row>
    <row r="7" spans="1:7" ht="36.75" customHeight="1">
      <c r="A7" s="211"/>
      <c r="B7" s="212"/>
      <c r="C7" s="212"/>
      <c r="D7" s="212"/>
      <c r="E7" s="212"/>
      <c r="F7" s="212"/>
      <c r="G7" s="213"/>
    </row>
    <row r="8" spans="1:7">
      <c r="A8" s="25"/>
      <c r="B8" s="26"/>
      <c r="C8" s="26"/>
      <c r="D8" s="26"/>
      <c r="E8" s="26"/>
      <c r="F8" s="26"/>
      <c r="G8" s="27"/>
    </row>
    <row r="9" spans="1:7">
      <c r="A9" s="25"/>
      <c r="B9" s="26"/>
      <c r="C9" s="26"/>
      <c r="D9" s="26"/>
      <c r="E9" s="26"/>
      <c r="F9" s="26"/>
      <c r="G9" s="27"/>
    </row>
    <row r="10" spans="1:7" ht="58.5" customHeight="1">
      <c r="A10" s="211" t="s">
        <v>0</v>
      </c>
      <c r="B10" s="212"/>
      <c r="C10" s="212"/>
      <c r="D10" s="212"/>
      <c r="E10" s="212"/>
      <c r="F10" s="212"/>
      <c r="G10" s="213"/>
    </row>
    <row r="11" spans="1:7" ht="15" customHeight="1">
      <c r="A11" s="28"/>
      <c r="B11" s="29"/>
      <c r="C11" s="29"/>
      <c r="D11" s="29"/>
      <c r="E11" s="29"/>
      <c r="F11" s="29"/>
      <c r="G11" s="30"/>
    </row>
    <row r="12" spans="1:7">
      <c r="A12" s="25"/>
      <c r="B12" s="26"/>
      <c r="C12" s="26"/>
      <c r="D12" s="26"/>
      <c r="E12" s="26"/>
      <c r="F12" s="26"/>
      <c r="G12" s="27"/>
    </row>
    <row r="13" spans="1:7" ht="16.2">
      <c r="A13" s="214" t="s">
        <v>1</v>
      </c>
      <c r="B13" s="215"/>
      <c r="C13" s="215"/>
      <c r="D13" s="215"/>
      <c r="E13" s="215"/>
      <c r="F13" s="215"/>
      <c r="G13" s="216"/>
    </row>
    <row r="14" spans="1:7">
      <c r="A14" s="25"/>
      <c r="B14" s="26"/>
      <c r="C14" s="26"/>
      <c r="D14" s="26"/>
      <c r="E14" s="26"/>
      <c r="F14" s="26"/>
      <c r="G14" s="27"/>
    </row>
    <row r="15" spans="1:7" ht="15" customHeight="1">
      <c r="A15" s="25"/>
      <c r="B15" s="32"/>
      <c r="C15" s="31"/>
      <c r="D15" s="31"/>
      <c r="E15" s="31"/>
      <c r="F15" s="26"/>
      <c r="G15" s="27"/>
    </row>
    <row r="16" spans="1:7" ht="15" customHeight="1">
      <c r="A16" s="32" t="s">
        <v>2</v>
      </c>
      <c r="B16" s="33"/>
      <c r="D16" s="31"/>
      <c r="E16" s="31"/>
      <c r="F16" s="26"/>
      <c r="G16" s="27"/>
    </row>
    <row r="17" spans="1:7" ht="15" customHeight="1">
      <c r="A17" s="95">
        <v>1</v>
      </c>
      <c r="B17" s="33" t="s">
        <v>3</v>
      </c>
      <c r="D17" s="31"/>
      <c r="E17" s="31"/>
      <c r="F17" s="26"/>
      <c r="G17" s="27"/>
    </row>
    <row r="18" spans="1:7" ht="15" customHeight="1">
      <c r="A18" s="95">
        <v>2</v>
      </c>
      <c r="B18" s="33" t="s">
        <v>4</v>
      </c>
      <c r="D18" s="31"/>
      <c r="E18" s="31"/>
      <c r="F18" s="26"/>
      <c r="G18" s="27"/>
    </row>
    <row r="19" spans="1:7" ht="15" customHeight="1">
      <c r="A19" s="95">
        <v>3</v>
      </c>
      <c r="B19" s="33" t="s">
        <v>5</v>
      </c>
      <c r="D19" s="31"/>
      <c r="E19" s="31"/>
      <c r="F19" s="26"/>
      <c r="G19" s="27"/>
    </row>
    <row r="20" spans="1:7">
      <c r="A20" s="95">
        <v>4</v>
      </c>
      <c r="B20" s="33" t="s">
        <v>6</v>
      </c>
      <c r="D20" s="31"/>
      <c r="E20" s="31"/>
      <c r="F20" s="26"/>
      <c r="G20" s="27"/>
    </row>
    <row r="21" spans="1:7">
      <c r="A21" s="95">
        <v>5</v>
      </c>
      <c r="B21" s="33" t="s">
        <v>7</v>
      </c>
      <c r="D21" s="31"/>
      <c r="E21" s="31"/>
      <c r="F21" s="26"/>
      <c r="G21" s="27"/>
    </row>
    <row r="22" spans="1:7">
      <c r="A22" s="95">
        <v>6</v>
      </c>
      <c r="B22" s="33" t="s">
        <v>8</v>
      </c>
      <c r="D22" s="31"/>
      <c r="E22" s="31"/>
      <c r="F22" s="26"/>
      <c r="G22" s="27"/>
    </row>
    <row r="23" spans="1:7">
      <c r="A23" s="95">
        <v>7</v>
      </c>
      <c r="B23" s="33" t="s">
        <v>9</v>
      </c>
      <c r="D23" s="31"/>
      <c r="E23" s="31"/>
      <c r="F23" s="26"/>
      <c r="G23" s="27"/>
    </row>
    <row r="24" spans="1:7">
      <c r="A24" s="95">
        <v>8</v>
      </c>
      <c r="B24" s="33" t="s">
        <v>10</v>
      </c>
      <c r="D24" s="31"/>
      <c r="E24" s="31"/>
      <c r="F24" s="26"/>
      <c r="G24" s="27"/>
    </row>
    <row r="25" spans="1:7">
      <c r="A25" s="95">
        <v>9</v>
      </c>
      <c r="B25" s="33" t="s">
        <v>11</v>
      </c>
      <c r="D25" s="31"/>
      <c r="E25" s="31"/>
      <c r="F25" s="26"/>
      <c r="G25" s="27"/>
    </row>
    <row r="26" spans="1:7">
      <c r="A26" s="23"/>
      <c r="B26" s="34"/>
      <c r="C26" s="34"/>
      <c r="G26" s="24"/>
    </row>
    <row r="27" spans="1:7">
      <c r="A27" s="32" t="s">
        <v>12</v>
      </c>
      <c r="B27" s="35">
        <v>44427</v>
      </c>
      <c r="D27" s="36"/>
      <c r="E27" s="36"/>
      <c r="F27" s="36"/>
      <c r="G27" s="37"/>
    </row>
    <row r="28" spans="1:7">
      <c r="A28" s="23"/>
      <c r="B28" s="33" t="s">
        <v>329</v>
      </c>
      <c r="G28" s="24"/>
    </row>
    <row r="29" spans="1:7">
      <c r="A29" s="23"/>
      <c r="G29" s="24"/>
    </row>
    <row r="30" spans="1:7">
      <c r="A30" s="38"/>
      <c r="G30" s="24"/>
    </row>
    <row r="31" spans="1:7">
      <c r="A31" s="39"/>
      <c r="B31" s="19" t="s">
        <v>13</v>
      </c>
      <c r="C31" s="40"/>
      <c r="D31" s="40"/>
      <c r="F31" s="40"/>
      <c r="G31" s="41"/>
    </row>
    <row r="32" spans="1:7">
      <c r="A32" s="42"/>
      <c r="B32" s="35" t="s">
        <v>14</v>
      </c>
      <c r="D32" s="43" t="s">
        <v>15</v>
      </c>
      <c r="G32" s="24"/>
    </row>
    <row r="33" spans="1:7">
      <c r="A33" s="23"/>
      <c r="B33" s="33" t="s">
        <v>16</v>
      </c>
      <c r="D33" s="43" t="s">
        <v>17</v>
      </c>
      <c r="G33" s="24"/>
    </row>
    <row r="34" spans="1:7">
      <c r="A34" s="23"/>
      <c r="G34" s="24"/>
    </row>
    <row r="35" spans="1:7">
      <c r="A35" s="23"/>
      <c r="G35" s="24"/>
    </row>
    <row r="36" spans="1:7">
      <c r="A36" s="23"/>
      <c r="G36" s="24"/>
    </row>
    <row r="37" spans="1:7">
      <c r="A37" s="23"/>
      <c r="G37" s="24"/>
    </row>
    <row r="38" spans="1:7">
      <c r="A38" s="23"/>
      <c r="G38" s="24"/>
    </row>
    <row r="39" spans="1:7">
      <c r="A39" s="44" t="s">
        <v>18</v>
      </c>
      <c r="G39" s="24"/>
    </row>
    <row r="40" spans="1:7" ht="39" customHeight="1">
      <c r="A40" s="217" t="s">
        <v>19</v>
      </c>
      <c r="B40" s="218"/>
      <c r="C40" s="218"/>
      <c r="D40" s="218"/>
      <c r="E40" s="218"/>
      <c r="F40" s="218"/>
      <c r="G40" s="219"/>
    </row>
    <row r="41" spans="1:7">
      <c r="A41" s="45"/>
      <c r="B41" s="46"/>
      <c r="C41" s="46"/>
      <c r="D41" s="46"/>
      <c r="E41" s="46"/>
      <c r="F41" s="46"/>
      <c r="G41" s="47"/>
    </row>
  </sheetData>
  <mergeCells count="4">
    <mergeCell ref="A10:G10"/>
    <mergeCell ref="A13:G13"/>
    <mergeCell ref="A7:G7"/>
    <mergeCell ref="A40:G40"/>
  </mergeCells>
  <hyperlinks>
    <hyperlink ref="D32" r:id="rId1" xr:uid="{DE1BEA74-C8DA-43A2-8CBE-BCC0A7DAB2A7}"/>
    <hyperlink ref="D33" r:id="rId2" xr:uid="{A37E615D-2222-457C-B022-590ABB4DB0B9}"/>
  </hyperlinks>
  <pageMargins left="0.7" right="0.7" top="0.78740157499999996" bottom="0.78740157499999996"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41ED5-C240-4B69-A542-7E7B90D48BDB}">
  <dimension ref="A1:J48"/>
  <sheetViews>
    <sheetView zoomScaleNormal="100" workbookViewId="0">
      <selection activeCell="O17" sqref="O17"/>
    </sheetView>
  </sheetViews>
  <sheetFormatPr defaultColWidth="11.44140625" defaultRowHeight="14.4"/>
  <cols>
    <col min="1" max="1" width="26.33203125" style="19" customWidth="1"/>
    <col min="2" max="8" width="13.6640625" style="19" customWidth="1"/>
    <col min="9" max="9" width="11.44140625" style="19"/>
    <col min="10" max="10" width="15" style="19" customWidth="1"/>
    <col min="11" max="16384" width="11.44140625" style="19"/>
  </cols>
  <sheetData>
    <row r="1" spans="1:10" ht="18.600000000000001" thickBot="1">
      <c r="A1" s="114" t="s">
        <v>8</v>
      </c>
    </row>
    <row r="2" spans="1:10" ht="63.6" thickBot="1">
      <c r="A2" s="180" t="s">
        <v>127</v>
      </c>
      <c r="B2" s="181" t="s">
        <v>128</v>
      </c>
      <c r="C2" s="181" t="s">
        <v>129</v>
      </c>
      <c r="D2" s="181" t="s">
        <v>130</v>
      </c>
      <c r="E2" s="182" t="s">
        <v>26</v>
      </c>
      <c r="G2" s="189" t="s">
        <v>131</v>
      </c>
      <c r="H2" s="190" t="s">
        <v>132</v>
      </c>
      <c r="I2" s="190" t="s">
        <v>131</v>
      </c>
      <c r="J2" s="191" t="s">
        <v>133</v>
      </c>
    </row>
    <row r="3" spans="1:10" ht="15" thickBot="1">
      <c r="A3" s="119" t="s">
        <v>134</v>
      </c>
      <c r="B3" s="12">
        <v>5500</v>
      </c>
      <c r="C3" s="15">
        <v>0.26</v>
      </c>
      <c r="D3" s="18"/>
      <c r="E3" s="183">
        <v>1</v>
      </c>
      <c r="G3" s="192">
        <v>8858775</v>
      </c>
      <c r="H3" s="193">
        <f t="shared" ref="H3:H32" si="0">B3/(G3/1000)</f>
        <v>0.62085333468792248</v>
      </c>
      <c r="I3" s="194">
        <f>G3*C3</f>
        <v>2303281.5</v>
      </c>
      <c r="J3" s="195">
        <f>I3/B3</f>
        <v>418.77845454545457</v>
      </c>
    </row>
    <row r="4" spans="1:10" ht="15" thickBot="1">
      <c r="A4" s="122" t="s">
        <v>28</v>
      </c>
      <c r="B4" s="12"/>
      <c r="C4" s="15"/>
      <c r="D4" s="18"/>
      <c r="E4" s="183"/>
      <c r="G4" s="192">
        <v>11455519</v>
      </c>
      <c r="H4" s="193">
        <f t="shared" si="0"/>
        <v>0</v>
      </c>
      <c r="I4" s="194">
        <f t="shared" ref="I4:I32" si="1">G4*C4</f>
        <v>0</v>
      </c>
      <c r="J4" s="195"/>
    </row>
    <row r="5" spans="1:10" ht="15" thickBot="1">
      <c r="A5" s="119" t="s">
        <v>29</v>
      </c>
      <c r="B5" s="12">
        <f>2331+764</f>
        <v>3095</v>
      </c>
      <c r="C5" s="15">
        <v>0.18</v>
      </c>
      <c r="D5" s="18">
        <v>405016</v>
      </c>
      <c r="E5" s="183">
        <v>3</v>
      </c>
      <c r="G5" s="192">
        <v>7000039</v>
      </c>
      <c r="H5" s="193">
        <f t="shared" si="0"/>
        <v>0.44214039378923464</v>
      </c>
      <c r="I5" s="194">
        <f t="shared" si="1"/>
        <v>1260007.02</v>
      </c>
      <c r="J5" s="195">
        <f t="shared" ref="J5:J32" si="2">I5/B5</f>
        <v>407.11050726978999</v>
      </c>
    </row>
    <row r="6" spans="1:10" ht="15" thickBot="1">
      <c r="A6" s="119" t="s">
        <v>31</v>
      </c>
      <c r="B6" s="12">
        <v>440</v>
      </c>
      <c r="C6" s="15">
        <v>0.108</v>
      </c>
      <c r="D6" s="18">
        <v>156080</v>
      </c>
      <c r="E6" s="183">
        <v>5</v>
      </c>
      <c r="F6" s="177"/>
      <c r="G6" s="192">
        <v>4076246</v>
      </c>
      <c r="H6" s="193">
        <f t="shared" si="0"/>
        <v>0.10794245489599989</v>
      </c>
      <c r="I6" s="194">
        <f t="shared" si="1"/>
        <v>440234.56799999997</v>
      </c>
      <c r="J6" s="195">
        <f t="shared" si="2"/>
        <v>1000.5331090909091</v>
      </c>
    </row>
    <row r="7" spans="1:10" ht="15" thickBot="1">
      <c r="A7" s="119" t="s">
        <v>32</v>
      </c>
      <c r="B7" s="12">
        <v>7517</v>
      </c>
      <c r="C7" s="15">
        <v>0.4</v>
      </c>
      <c r="D7" s="18"/>
      <c r="E7" s="183">
        <v>10</v>
      </c>
      <c r="G7" s="192">
        <v>10649800</v>
      </c>
      <c r="H7" s="193">
        <f t="shared" si="0"/>
        <v>0.70583485135871105</v>
      </c>
      <c r="I7" s="194">
        <f t="shared" si="1"/>
        <v>4259920</v>
      </c>
      <c r="J7" s="195">
        <f t="shared" si="2"/>
        <v>566.70480244778503</v>
      </c>
    </row>
    <row r="8" spans="1:10" ht="15" thickBot="1">
      <c r="A8" s="119" t="s">
        <v>33</v>
      </c>
      <c r="B8" s="12">
        <v>30800</v>
      </c>
      <c r="C8" s="15">
        <v>0.65</v>
      </c>
      <c r="D8" s="18"/>
      <c r="E8" s="183">
        <v>10</v>
      </c>
      <c r="G8" s="192">
        <v>5806081</v>
      </c>
      <c r="H8" s="193">
        <f t="shared" si="0"/>
        <v>5.3047830369572866</v>
      </c>
      <c r="I8" s="194">
        <f t="shared" si="1"/>
        <v>3773952.65</v>
      </c>
      <c r="J8" s="195">
        <f t="shared" si="2"/>
        <v>122.53093019480519</v>
      </c>
    </row>
    <row r="9" spans="1:10" ht="15" thickBot="1">
      <c r="A9" s="119" t="s">
        <v>34</v>
      </c>
      <c r="B9" s="12">
        <v>1450</v>
      </c>
      <c r="C9" s="15">
        <v>0.54</v>
      </c>
      <c r="D9" s="18"/>
      <c r="E9" s="183">
        <v>10.32</v>
      </c>
      <c r="G9" s="192">
        <v>1324820</v>
      </c>
      <c r="H9" s="193">
        <f t="shared" si="0"/>
        <v>1.0944883078455943</v>
      </c>
      <c r="I9" s="194">
        <f t="shared" si="1"/>
        <v>715402.8</v>
      </c>
      <c r="J9" s="195">
        <f t="shared" si="2"/>
        <v>493.38124137931038</v>
      </c>
    </row>
    <row r="10" spans="1:10" ht="15" thickBot="1">
      <c r="A10" s="119" t="s">
        <v>35</v>
      </c>
      <c r="B10" s="12">
        <v>15140</v>
      </c>
      <c r="C10" s="15">
        <v>0.51</v>
      </c>
      <c r="D10" s="18">
        <v>154500</v>
      </c>
      <c r="E10" s="183">
        <v>18</v>
      </c>
      <c r="G10" s="192">
        <v>5517919</v>
      </c>
      <c r="H10" s="193">
        <f t="shared" si="0"/>
        <v>2.7437880113861768</v>
      </c>
      <c r="I10" s="194">
        <f t="shared" si="1"/>
        <v>2814138.69</v>
      </c>
      <c r="J10" s="195">
        <f t="shared" si="2"/>
        <v>185.8744180977543</v>
      </c>
    </row>
    <row r="11" spans="1:10" ht="15" thickBot="1">
      <c r="A11" s="119" t="s">
        <v>36</v>
      </c>
      <c r="B11" s="12">
        <v>5781</v>
      </c>
      <c r="C11" s="15">
        <v>0.08</v>
      </c>
      <c r="D11" s="18"/>
      <c r="E11" s="183">
        <v>19</v>
      </c>
      <c r="G11" s="192">
        <v>67012883</v>
      </c>
      <c r="H11" s="193">
        <f t="shared" si="0"/>
        <v>8.6266994362860047E-2</v>
      </c>
      <c r="I11" s="194">
        <f t="shared" si="1"/>
        <v>5361030.6399999997</v>
      </c>
      <c r="J11" s="195">
        <f t="shared" si="2"/>
        <v>927.35350977339556</v>
      </c>
    </row>
    <row r="12" spans="1:10" ht="15" thickBot="1">
      <c r="A12" s="119" t="s">
        <v>37</v>
      </c>
      <c r="B12" s="12">
        <v>28629</v>
      </c>
      <c r="C12" s="15">
        <v>0.14799999999999999</v>
      </c>
      <c r="D12" s="51"/>
      <c r="E12" s="184">
        <v>21.22</v>
      </c>
      <c r="G12" s="192">
        <v>83019213</v>
      </c>
      <c r="H12" s="193">
        <f t="shared" si="0"/>
        <v>0.3448478847902352</v>
      </c>
      <c r="I12" s="194">
        <f t="shared" si="1"/>
        <v>12286843.524</v>
      </c>
      <c r="J12" s="195">
        <f t="shared" si="2"/>
        <v>429.1747362464634</v>
      </c>
    </row>
    <row r="13" spans="1:10" ht="15" thickBot="1">
      <c r="A13" s="122" t="s">
        <v>38</v>
      </c>
      <c r="B13" s="12">
        <v>200</v>
      </c>
      <c r="C13" s="51">
        <v>5.4000000000000003E-3</v>
      </c>
      <c r="D13" s="18"/>
      <c r="E13" s="183">
        <v>23</v>
      </c>
      <c r="G13" s="192">
        <v>10724599</v>
      </c>
      <c r="H13" s="193">
        <f t="shared" si="0"/>
        <v>1.8648715910030762E-2</v>
      </c>
      <c r="I13" s="194">
        <f t="shared" si="1"/>
        <v>57912.834600000002</v>
      </c>
      <c r="J13" s="195">
        <f t="shared" si="2"/>
        <v>289.56417299999998</v>
      </c>
    </row>
    <row r="14" spans="1:10" ht="15" thickBot="1">
      <c r="A14" s="119" t="s">
        <v>39</v>
      </c>
      <c r="B14" s="12">
        <v>1951</v>
      </c>
      <c r="C14" s="15">
        <v>0.17</v>
      </c>
      <c r="D14" s="18">
        <v>13347</v>
      </c>
      <c r="E14" s="183">
        <v>24</v>
      </c>
      <c r="G14" s="192">
        <v>9772756</v>
      </c>
      <c r="H14" s="193">
        <f t="shared" si="0"/>
        <v>0.1996366224635098</v>
      </c>
      <c r="I14" s="194">
        <f t="shared" si="1"/>
        <v>1661368.52</v>
      </c>
      <c r="J14" s="195">
        <f t="shared" si="2"/>
        <v>851.54716555612504</v>
      </c>
    </row>
    <row r="15" spans="1:10" ht="15" thickBot="1">
      <c r="A15" s="122" t="s">
        <v>40</v>
      </c>
      <c r="B15" s="12"/>
      <c r="C15" s="15"/>
      <c r="D15" s="18"/>
      <c r="E15" s="183"/>
      <c r="G15" s="192">
        <v>4904240</v>
      </c>
      <c r="H15" s="193">
        <f t="shared" si="0"/>
        <v>0</v>
      </c>
      <c r="I15" s="194">
        <f t="shared" si="1"/>
        <v>0</v>
      </c>
      <c r="J15" s="195"/>
    </row>
    <row r="16" spans="1:10" ht="15" thickBot="1">
      <c r="A16" s="119" t="s">
        <v>41</v>
      </c>
      <c r="B16" s="12">
        <v>4446</v>
      </c>
      <c r="C16" s="15">
        <v>0.06</v>
      </c>
      <c r="D16" s="18">
        <v>82853</v>
      </c>
      <c r="E16" s="183">
        <v>28</v>
      </c>
      <c r="G16" s="192">
        <v>60359546</v>
      </c>
      <c r="H16" s="193">
        <f t="shared" si="0"/>
        <v>7.3658605715821654E-2</v>
      </c>
      <c r="I16" s="194">
        <f t="shared" si="1"/>
        <v>3621572.76</v>
      </c>
      <c r="J16" s="195">
        <f t="shared" si="2"/>
        <v>814.56877192982449</v>
      </c>
    </row>
    <row r="17" spans="1:10" ht="15" thickBot="1">
      <c r="A17" s="119" t="s">
        <v>42</v>
      </c>
      <c r="B17" s="12">
        <v>1700</v>
      </c>
      <c r="C17" s="15">
        <v>0.35</v>
      </c>
      <c r="D17" s="18"/>
      <c r="E17" s="183">
        <v>10.3</v>
      </c>
      <c r="G17" s="192">
        <v>1919968</v>
      </c>
      <c r="H17" s="193">
        <f t="shared" si="0"/>
        <v>0.8854314238570643</v>
      </c>
      <c r="I17" s="194">
        <f t="shared" si="1"/>
        <v>671988.79999999993</v>
      </c>
      <c r="J17" s="195">
        <f t="shared" si="2"/>
        <v>395.28752941176464</v>
      </c>
    </row>
    <row r="18" spans="1:10" ht="15" thickBot="1">
      <c r="A18" s="119" t="s">
        <v>43</v>
      </c>
      <c r="B18" s="12">
        <v>2775</v>
      </c>
      <c r="C18" s="15">
        <v>0.56999999999999995</v>
      </c>
      <c r="D18" s="18"/>
      <c r="E18" s="183">
        <v>31.32</v>
      </c>
      <c r="G18" s="192">
        <v>2794184</v>
      </c>
      <c r="H18" s="193">
        <f t="shared" si="0"/>
        <v>0.99313431041048117</v>
      </c>
      <c r="I18" s="194">
        <f t="shared" si="1"/>
        <v>1592684.88</v>
      </c>
      <c r="J18" s="195">
        <f t="shared" si="2"/>
        <v>573.94049729729727</v>
      </c>
    </row>
    <row r="19" spans="1:10" ht="15" thickBot="1">
      <c r="A19" s="122" t="s">
        <v>44</v>
      </c>
      <c r="B19" s="12"/>
      <c r="C19" s="15"/>
      <c r="D19" s="18"/>
      <c r="E19" s="183"/>
      <c r="G19" s="192">
        <v>613894</v>
      </c>
      <c r="H19" s="193">
        <f t="shared" si="0"/>
        <v>0</v>
      </c>
      <c r="I19" s="194">
        <f t="shared" si="1"/>
        <v>0</v>
      </c>
      <c r="J19" s="195"/>
    </row>
    <row r="20" spans="1:10" ht="15" thickBot="1">
      <c r="A20" s="119" t="s">
        <v>46</v>
      </c>
      <c r="B20" s="12">
        <v>4000</v>
      </c>
      <c r="C20" s="15">
        <v>5.6000000000000001E-2</v>
      </c>
      <c r="D20" s="18">
        <v>329000</v>
      </c>
      <c r="E20" s="183">
        <v>10.34</v>
      </c>
      <c r="G20" s="192">
        <v>17282163</v>
      </c>
      <c r="H20" s="193">
        <f t="shared" si="0"/>
        <v>0.2314525097350372</v>
      </c>
      <c r="I20" s="194">
        <f t="shared" si="1"/>
        <v>967801.12800000003</v>
      </c>
      <c r="J20" s="195">
        <f t="shared" si="2"/>
        <v>241.95028200000002</v>
      </c>
    </row>
    <row r="21" spans="1:10" ht="15" thickBot="1">
      <c r="A21" s="119" t="s">
        <v>47</v>
      </c>
      <c r="B21" s="12">
        <v>21367</v>
      </c>
      <c r="C21" s="15">
        <v>0.43</v>
      </c>
      <c r="D21" s="18"/>
      <c r="E21" s="183">
        <v>10.37</v>
      </c>
      <c r="G21" s="192">
        <v>37972812</v>
      </c>
      <c r="H21" s="193">
        <f t="shared" si="0"/>
        <v>0.56269206504906721</v>
      </c>
      <c r="I21" s="194">
        <f t="shared" si="1"/>
        <v>16328309.16</v>
      </c>
      <c r="J21" s="195">
        <f t="shared" si="2"/>
        <v>764.18351476576026</v>
      </c>
    </row>
    <row r="22" spans="1:10" ht="15" thickBot="1">
      <c r="A22" s="119" t="s">
        <v>48</v>
      </c>
      <c r="B22" s="12">
        <v>24</v>
      </c>
      <c r="C22" s="15"/>
      <c r="D22" s="18"/>
      <c r="E22" s="183">
        <v>10</v>
      </c>
      <c r="G22" s="192">
        <v>10276617</v>
      </c>
      <c r="H22" s="193">
        <f t="shared" si="0"/>
        <v>2.3353988963488665E-3</v>
      </c>
      <c r="I22" s="194">
        <f t="shared" si="1"/>
        <v>0</v>
      </c>
      <c r="J22" s="195">
        <f t="shared" si="2"/>
        <v>0</v>
      </c>
    </row>
    <row r="23" spans="1:10" ht="15" thickBot="1">
      <c r="A23" s="119" t="s">
        <v>50</v>
      </c>
      <c r="B23" s="12">
        <v>7250</v>
      </c>
      <c r="C23" s="15">
        <v>0.2</v>
      </c>
      <c r="D23" s="18">
        <v>53440</v>
      </c>
      <c r="E23" s="183">
        <v>38</v>
      </c>
      <c r="G23" s="192">
        <v>19414458</v>
      </c>
      <c r="H23" s="193">
        <f t="shared" si="0"/>
        <v>0.37343303634847808</v>
      </c>
      <c r="I23" s="194">
        <f t="shared" si="1"/>
        <v>3882891.6</v>
      </c>
      <c r="J23" s="195">
        <f t="shared" si="2"/>
        <v>535.57125517241377</v>
      </c>
    </row>
    <row r="24" spans="1:10" ht="15" thickBot="1">
      <c r="A24" s="119" t="s">
        <v>51</v>
      </c>
      <c r="B24" s="12">
        <v>1400</v>
      </c>
      <c r="C24" s="15">
        <v>0.34</v>
      </c>
      <c r="D24" s="18">
        <v>13000</v>
      </c>
      <c r="E24" s="183">
        <v>10.4</v>
      </c>
      <c r="G24" s="192">
        <v>5450421</v>
      </c>
      <c r="H24" s="193">
        <f t="shared" si="0"/>
        <v>0.25686089203017526</v>
      </c>
      <c r="I24" s="194">
        <f t="shared" si="1"/>
        <v>1853143.1400000001</v>
      </c>
      <c r="J24" s="195">
        <f t="shared" si="2"/>
        <v>1323.6736714285714</v>
      </c>
    </row>
    <row r="25" spans="1:10" ht="15" thickBot="1">
      <c r="A25" s="119" t="s">
        <v>52</v>
      </c>
      <c r="B25" s="12">
        <v>897.5</v>
      </c>
      <c r="C25" s="15">
        <v>0.15</v>
      </c>
      <c r="D25" s="18">
        <v>106593</v>
      </c>
      <c r="E25" s="183">
        <v>41</v>
      </c>
      <c r="G25" s="192">
        <v>2080908</v>
      </c>
      <c r="H25" s="193">
        <f t="shared" si="0"/>
        <v>0.43130210465815888</v>
      </c>
      <c r="I25" s="194">
        <f t="shared" si="1"/>
        <v>312136.2</v>
      </c>
      <c r="J25" s="195">
        <f t="shared" si="2"/>
        <v>347.78406685236769</v>
      </c>
    </row>
    <row r="26" spans="1:10" ht="15" thickBot="1">
      <c r="A26" s="119" t="s">
        <v>53</v>
      </c>
      <c r="B26" s="12">
        <v>740</v>
      </c>
      <c r="C26" s="15"/>
      <c r="D26" s="18"/>
      <c r="E26" s="183">
        <v>42</v>
      </c>
      <c r="G26" s="192">
        <v>46937060</v>
      </c>
      <c r="H26" s="193">
        <f t="shared" si="0"/>
        <v>1.5765793596786846E-2</v>
      </c>
      <c r="I26" s="194">
        <f t="shared" si="1"/>
        <v>0</v>
      </c>
      <c r="J26" s="195">
        <f t="shared" si="2"/>
        <v>0</v>
      </c>
    </row>
    <row r="27" spans="1:10" ht="16.5" customHeight="1" thickBot="1">
      <c r="A27" s="119" t="s">
        <v>135</v>
      </c>
      <c r="B27" s="12">
        <v>24000</v>
      </c>
      <c r="C27" s="15">
        <v>0.5</v>
      </c>
      <c r="D27" s="18">
        <v>376100</v>
      </c>
      <c r="E27" s="183">
        <v>43</v>
      </c>
      <c r="G27" s="192">
        <v>10230185</v>
      </c>
      <c r="H27" s="193">
        <f t="shared" si="0"/>
        <v>2.3459986305232996</v>
      </c>
      <c r="I27" s="194">
        <f t="shared" si="1"/>
        <v>5115092.5</v>
      </c>
      <c r="J27" s="195">
        <f t="shared" si="2"/>
        <v>213.12885416666666</v>
      </c>
    </row>
    <row r="28" spans="1:10" ht="15" thickBot="1">
      <c r="A28" s="125" t="s">
        <v>55</v>
      </c>
      <c r="B28" s="12">
        <f>SUM(B3:B27)</f>
        <v>169102.5</v>
      </c>
      <c r="C28" s="15">
        <v>0.16</v>
      </c>
      <c r="D28" s="18"/>
      <c r="E28" s="183"/>
      <c r="G28" s="192">
        <f>SUM(G3:G27)</f>
        <v>445455106</v>
      </c>
      <c r="H28" s="193">
        <f t="shared" si="0"/>
        <v>0.3796173794447425</v>
      </c>
      <c r="I28" s="194">
        <f t="shared" si="1"/>
        <v>71272816.960000008</v>
      </c>
      <c r="J28" s="195">
        <f t="shared" si="2"/>
        <v>421.47701518309907</v>
      </c>
    </row>
    <row r="29" spans="1:10" ht="15" thickBot="1">
      <c r="A29" s="119" t="s">
        <v>56</v>
      </c>
      <c r="B29" s="12">
        <v>1800</v>
      </c>
      <c r="C29" s="15">
        <v>0.01</v>
      </c>
      <c r="D29" s="18">
        <v>491898</v>
      </c>
      <c r="E29" s="183">
        <v>48</v>
      </c>
      <c r="G29" s="192">
        <v>66647112</v>
      </c>
      <c r="H29" s="193">
        <f t="shared" si="0"/>
        <v>2.7007921963670387E-2</v>
      </c>
      <c r="I29" s="194">
        <f t="shared" si="1"/>
        <v>666471.12</v>
      </c>
      <c r="J29" s="195">
        <f t="shared" si="2"/>
        <v>370.26173333333332</v>
      </c>
    </row>
    <row r="30" spans="1:10" ht="15" thickBot="1">
      <c r="A30" s="119" t="s">
        <v>136</v>
      </c>
      <c r="B30" s="12">
        <v>2200</v>
      </c>
      <c r="C30" s="15">
        <v>0.92</v>
      </c>
      <c r="D30" s="15"/>
      <c r="E30" s="185">
        <v>25.26</v>
      </c>
      <c r="G30" s="192">
        <v>356991</v>
      </c>
      <c r="H30" s="193">
        <f t="shared" si="0"/>
        <v>6.1626203461711926</v>
      </c>
      <c r="I30" s="194">
        <f t="shared" si="1"/>
        <v>328431.72000000003</v>
      </c>
      <c r="J30" s="195">
        <f t="shared" si="2"/>
        <v>149.28714545454548</v>
      </c>
    </row>
    <row r="31" spans="1:10" ht="15" thickBot="1">
      <c r="A31" s="119" t="s">
        <v>59</v>
      </c>
      <c r="B31" s="12">
        <v>1931</v>
      </c>
      <c r="C31" s="15">
        <v>0.04</v>
      </c>
      <c r="D31" s="15"/>
      <c r="E31" s="185">
        <v>35</v>
      </c>
      <c r="G31" s="192">
        <v>5328212</v>
      </c>
      <c r="H31" s="193">
        <f t="shared" si="0"/>
        <v>0.36241050468712577</v>
      </c>
      <c r="I31" s="194">
        <f t="shared" si="1"/>
        <v>213128.48</v>
      </c>
      <c r="J31" s="195">
        <f t="shared" si="2"/>
        <v>110.3720766442258</v>
      </c>
    </row>
    <row r="32" spans="1:10" ht="15" thickBot="1">
      <c r="A32" s="126" t="s">
        <v>60</v>
      </c>
      <c r="B32" s="127">
        <f>9386+539+1008+866+902+981</f>
        <v>13682</v>
      </c>
      <c r="C32" s="186">
        <v>0.57999999999999996</v>
      </c>
      <c r="D32" s="187"/>
      <c r="E32" s="188">
        <v>44.45</v>
      </c>
      <c r="G32" s="196">
        <v>41983564</v>
      </c>
      <c r="H32" s="197">
        <f t="shared" si="0"/>
        <v>0.32588943616125587</v>
      </c>
      <c r="I32" s="198">
        <f t="shared" si="1"/>
        <v>24350467.119999997</v>
      </c>
      <c r="J32" s="199">
        <f t="shared" si="2"/>
        <v>1779.7447098377429</v>
      </c>
    </row>
    <row r="33" spans="1:8">
      <c r="A33" s="178" t="s">
        <v>137</v>
      </c>
    </row>
    <row r="34" spans="1:8">
      <c r="A34" s="178" t="s">
        <v>138</v>
      </c>
    </row>
    <row r="35" spans="1:8">
      <c r="A35" s="178" t="s">
        <v>139</v>
      </c>
    </row>
    <row r="46" spans="1:8">
      <c r="H46" s="179"/>
    </row>
    <row r="48" spans="1:8">
      <c r="H48" s="179"/>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B791-4E1F-4218-834F-DC6D13C0993F}">
  <dimension ref="A1:E37"/>
  <sheetViews>
    <sheetView zoomScale="85" zoomScaleNormal="85" workbookViewId="0">
      <selection activeCell="D3" sqref="D3"/>
    </sheetView>
  </sheetViews>
  <sheetFormatPr defaultColWidth="11.44140625" defaultRowHeight="14.4"/>
  <cols>
    <col min="1" max="1" width="19" style="19" customWidth="1"/>
    <col min="2" max="3" width="11.44140625" style="19"/>
    <col min="4" max="4" width="12.44140625" style="19" bestFit="1" customWidth="1"/>
    <col min="5" max="16384" width="11.44140625" style="19"/>
  </cols>
  <sheetData>
    <row r="1" spans="1:5" ht="18.600000000000001" thickBot="1">
      <c r="A1" s="114" t="s">
        <v>140</v>
      </c>
    </row>
    <row r="2" spans="1:5" ht="51" thickBot="1">
      <c r="A2" s="200" t="s">
        <v>21</v>
      </c>
      <c r="B2" s="181" t="s">
        <v>141</v>
      </c>
      <c r="C2" s="181" t="s">
        <v>142</v>
      </c>
      <c r="D2" s="181" t="s">
        <v>143</v>
      </c>
      <c r="E2" s="182" t="s">
        <v>144</v>
      </c>
    </row>
    <row r="3" spans="1:5" ht="15" thickBot="1">
      <c r="A3" s="119" t="s">
        <v>145</v>
      </c>
      <c r="B3" s="80">
        <v>110.819338415857</v>
      </c>
      <c r="C3" s="80">
        <v>8.7903950000000002</v>
      </c>
      <c r="D3" s="71">
        <f>CONVERT(B3,"PJ","GWh")/C3</f>
        <v>3501.907429638859</v>
      </c>
      <c r="E3" s="139">
        <v>11</v>
      </c>
    </row>
    <row r="4" spans="1:5" ht="15" thickBot="1">
      <c r="A4" s="119" t="s">
        <v>146</v>
      </c>
      <c r="B4" s="80">
        <v>89.464719000000002</v>
      </c>
      <c r="C4" s="80">
        <v>4.8655380000000008</v>
      </c>
      <c r="D4" s="71">
        <f t="shared" ref="D3:D27" si="0">CONVERT(B4,"PJ","GWh")/C4</f>
        <v>5107.6182805135486</v>
      </c>
      <c r="E4" s="139">
        <v>11</v>
      </c>
    </row>
    <row r="5" spans="1:5" ht="15" thickBot="1">
      <c r="A5" s="119" t="s">
        <v>147</v>
      </c>
      <c r="B5" s="80">
        <v>40.113999999999997</v>
      </c>
      <c r="C5" s="80">
        <v>4.3310000000000004</v>
      </c>
      <c r="D5" s="71">
        <f t="shared" si="0"/>
        <v>2572.7956078914285</v>
      </c>
      <c r="E5" s="139">
        <v>11</v>
      </c>
    </row>
    <row r="6" spans="1:5" ht="15" thickBot="1">
      <c r="A6" s="119" t="s">
        <v>148</v>
      </c>
      <c r="B6" s="80">
        <v>15.7544</v>
      </c>
      <c r="C6" s="80">
        <v>2.1551999999999998</v>
      </c>
      <c r="D6" s="71">
        <f t="shared" si="0"/>
        <v>2030.541120184773</v>
      </c>
      <c r="E6" s="139">
        <v>11</v>
      </c>
    </row>
    <row r="7" spans="1:5" ht="15" thickBot="1">
      <c r="A7" s="119" t="s">
        <v>149</v>
      </c>
      <c r="B7" s="80">
        <v>102.06420052820002</v>
      </c>
      <c r="C7" s="80">
        <v>21.6971667</v>
      </c>
      <c r="D7" s="71">
        <f t="shared" si="0"/>
        <v>1306.6759916348385</v>
      </c>
      <c r="E7" s="139">
        <v>11</v>
      </c>
    </row>
    <row r="8" spans="1:5" ht="15" thickBot="1">
      <c r="A8" s="119" t="s">
        <v>150</v>
      </c>
      <c r="B8" s="80">
        <v>95.161930762800026</v>
      </c>
      <c r="C8" s="80">
        <v>8.9884260000000005</v>
      </c>
      <c r="D8" s="71">
        <f t="shared" si="0"/>
        <v>2940.8785983589719</v>
      </c>
      <c r="E8" s="139">
        <v>11</v>
      </c>
    </row>
    <row r="9" spans="1:5" ht="15" thickBot="1">
      <c r="A9" s="119" t="s">
        <v>151</v>
      </c>
      <c r="B9" s="80">
        <v>3.4987499999999998</v>
      </c>
      <c r="C9" s="80">
        <v>0.69974999999999998</v>
      </c>
      <c r="D9" s="71">
        <f t="shared" si="0"/>
        <v>1388.8888888888889</v>
      </c>
      <c r="E9" s="139">
        <v>11</v>
      </c>
    </row>
    <row r="10" spans="1:5" ht="15" thickBot="1">
      <c r="A10" s="119" t="s">
        <v>152</v>
      </c>
      <c r="B10" s="80">
        <v>245.69499999999999</v>
      </c>
      <c r="C10" s="80">
        <v>16.538</v>
      </c>
      <c r="D10" s="71">
        <f t="shared" si="0"/>
        <v>4126.7753725426965</v>
      </c>
      <c r="E10" s="139">
        <v>11</v>
      </c>
    </row>
    <row r="11" spans="1:5" ht="15" thickBot="1">
      <c r="A11" s="119" t="s">
        <v>153</v>
      </c>
      <c r="B11" s="80">
        <v>176.44939000000002</v>
      </c>
      <c r="C11" s="80">
        <v>15.743709999999998</v>
      </c>
      <c r="D11" s="71">
        <f t="shared" si="0"/>
        <v>3113.2255004979424</v>
      </c>
      <c r="E11" s="139">
        <v>11</v>
      </c>
    </row>
    <row r="12" spans="1:5" ht="15" thickBot="1">
      <c r="A12" s="119" t="s">
        <v>154</v>
      </c>
      <c r="B12" s="80">
        <v>676.06439999999986</v>
      </c>
      <c r="C12" s="80">
        <v>97.994</v>
      </c>
      <c r="D12" s="71">
        <f t="shared" si="0"/>
        <v>1916.3996435155891</v>
      </c>
      <c r="E12" s="139">
        <v>11</v>
      </c>
    </row>
    <row r="13" spans="1:5" ht="15" thickBot="1">
      <c r="A13" s="119" t="s">
        <v>155</v>
      </c>
      <c r="B13" s="80">
        <v>17.353830000000002</v>
      </c>
      <c r="C13" s="80">
        <v>0.92591000000000012</v>
      </c>
      <c r="D13" s="71">
        <f t="shared" si="0"/>
        <v>5206.2385473030135</v>
      </c>
      <c r="E13" s="139">
        <v>11</v>
      </c>
    </row>
    <row r="14" spans="1:5" ht="15" thickBot="1">
      <c r="A14" s="119" t="s">
        <v>156</v>
      </c>
      <c r="B14" s="80">
        <v>24.658999999999999</v>
      </c>
      <c r="C14" s="80">
        <v>2.9860000000000002</v>
      </c>
      <c r="D14" s="71">
        <f t="shared" si="0"/>
        <v>2293.9458212398599</v>
      </c>
      <c r="E14" s="139">
        <v>11</v>
      </c>
    </row>
    <row r="15" spans="1:5" ht="15" thickBot="1">
      <c r="A15" s="119" t="s">
        <v>157</v>
      </c>
      <c r="B15" s="80">
        <v>11.623806215255879</v>
      </c>
      <c r="C15" s="80">
        <v>0.62754910000000008</v>
      </c>
      <c r="D15" s="71">
        <f t="shared" si="0"/>
        <v>5145.1512874344007</v>
      </c>
      <c r="E15" s="139">
        <v>11</v>
      </c>
    </row>
    <row r="16" spans="1:5" ht="15" thickBot="1">
      <c r="A16" s="119" t="s">
        <v>158</v>
      </c>
      <c r="B16" s="80">
        <v>214.636</v>
      </c>
      <c r="C16" s="80">
        <v>18.353999999999999</v>
      </c>
      <c r="D16" s="71">
        <f t="shared" si="0"/>
        <v>3248.3987747145643</v>
      </c>
      <c r="E16" s="139">
        <v>11</v>
      </c>
    </row>
    <row r="17" spans="1:5" ht="15" thickBot="1">
      <c r="A17" s="119" t="s">
        <v>159</v>
      </c>
      <c r="B17" s="80">
        <v>15.143000000000001</v>
      </c>
      <c r="C17" s="80">
        <v>1.204</v>
      </c>
      <c r="D17" s="71">
        <f t="shared" si="0"/>
        <v>3493.6784791435953</v>
      </c>
      <c r="E17" s="139">
        <v>11</v>
      </c>
    </row>
    <row r="18" spans="1:5" ht="15" thickBot="1">
      <c r="A18" s="119" t="s">
        <v>160</v>
      </c>
      <c r="B18" s="80">
        <v>10.212999999999999</v>
      </c>
      <c r="C18" s="80">
        <v>1.4810000000000001</v>
      </c>
      <c r="D18" s="71">
        <f t="shared" si="0"/>
        <v>1915.5600570185304</v>
      </c>
      <c r="E18" s="139">
        <v>11</v>
      </c>
    </row>
    <row r="19" spans="1:5" ht="15" thickBot="1">
      <c r="A19" s="119" t="s">
        <v>161</v>
      </c>
      <c r="B19" s="80">
        <v>2.9180000000000001</v>
      </c>
      <c r="C19" s="80">
        <v>0.20899999999999999</v>
      </c>
      <c r="D19" s="71">
        <f t="shared" si="0"/>
        <v>3878.2562466772993</v>
      </c>
      <c r="E19" s="139">
        <v>11</v>
      </c>
    </row>
    <row r="20" spans="1:5" ht="15" thickBot="1">
      <c r="A20" s="119" t="s">
        <v>162</v>
      </c>
      <c r="B20" s="80">
        <v>173.827</v>
      </c>
      <c r="C20" s="80">
        <v>15.941000000000001</v>
      </c>
      <c r="D20" s="71">
        <f t="shared" si="0"/>
        <v>3028.9992960151671</v>
      </c>
      <c r="E20" s="139">
        <v>11</v>
      </c>
    </row>
    <row r="21" spans="1:5" ht="15" thickBot="1">
      <c r="A21" s="119" t="s">
        <v>163</v>
      </c>
      <c r="B21" s="80">
        <v>247.06700000000001</v>
      </c>
      <c r="C21" s="80">
        <v>25.116</v>
      </c>
      <c r="D21" s="71">
        <f t="shared" si="0"/>
        <v>2732.5100422926507</v>
      </c>
      <c r="E21" s="139">
        <v>11</v>
      </c>
    </row>
    <row r="22" spans="1:5" ht="15" thickBot="1">
      <c r="A22" s="119" t="s">
        <v>164</v>
      </c>
      <c r="B22" s="80">
        <v>59.591282999999997</v>
      </c>
      <c r="C22" s="80">
        <v>4.1996630000000001</v>
      </c>
      <c r="D22" s="71">
        <f t="shared" si="0"/>
        <v>3941.538682191087</v>
      </c>
      <c r="E22" s="139">
        <v>11</v>
      </c>
    </row>
    <row r="23" spans="1:5" ht="15" thickBot="1">
      <c r="A23" s="119" t="s">
        <v>165</v>
      </c>
      <c r="B23" s="80">
        <v>42.161834829386159</v>
      </c>
      <c r="C23" s="80">
        <v>4.9259551200000002</v>
      </c>
      <c r="D23" s="71">
        <f t="shared" si="0"/>
        <v>2377.5329861187611</v>
      </c>
      <c r="E23" s="139">
        <v>11</v>
      </c>
    </row>
    <row r="24" spans="1:5" ht="15" thickBot="1">
      <c r="A24" s="119" t="s">
        <v>166</v>
      </c>
      <c r="B24" s="80">
        <v>32.131999999999998</v>
      </c>
      <c r="C24" s="80">
        <v>3.6949999999999998</v>
      </c>
      <c r="D24" s="71">
        <f t="shared" si="0"/>
        <v>2415.5766050218017</v>
      </c>
      <c r="E24" s="139">
        <v>11</v>
      </c>
    </row>
    <row r="25" spans="1:5" ht="15" thickBot="1">
      <c r="A25" s="119" t="s">
        <v>167</v>
      </c>
      <c r="B25" s="80">
        <v>11.320472826600144</v>
      </c>
      <c r="C25" s="80">
        <v>0.87932574351005766</v>
      </c>
      <c r="D25" s="71">
        <f t="shared" si="0"/>
        <v>3576.1216004143284</v>
      </c>
      <c r="E25" s="139">
        <v>11</v>
      </c>
    </row>
    <row r="26" spans="1:5" ht="15" thickBot="1">
      <c r="A26" s="119" t="s">
        <v>168</v>
      </c>
      <c r="B26" s="80">
        <v>141.90299999999999</v>
      </c>
      <c r="C26" s="80">
        <v>10.27</v>
      </c>
      <c r="D26" s="71">
        <f t="shared" si="0"/>
        <v>3838.1207400194744</v>
      </c>
      <c r="E26" s="139">
        <v>11</v>
      </c>
    </row>
    <row r="27" spans="1:5" ht="15" thickBot="1">
      <c r="A27" s="119" t="s">
        <v>169</v>
      </c>
      <c r="B27" s="80">
        <v>90.603999999999999</v>
      </c>
      <c r="C27" s="80">
        <v>7.8209999999999997</v>
      </c>
      <c r="D27" s="71">
        <f t="shared" si="0"/>
        <v>3217.9743994089986</v>
      </c>
      <c r="E27" s="139">
        <v>11</v>
      </c>
    </row>
    <row r="28" spans="1:5" ht="15" thickBot="1">
      <c r="A28" s="125" t="s">
        <v>83</v>
      </c>
      <c r="B28" s="81">
        <f>SUM(B3:B27)</f>
        <v>2650.2393555780986</v>
      </c>
      <c r="C28" s="81">
        <f>SUM(C3:C27)</f>
        <v>280.43858866351007</v>
      </c>
      <c r="D28" s="79">
        <f t="shared" ref="D28:D29" si="1">CONVERT(B28,"PJ","GWh")/C28</f>
        <v>2625.0937942602891</v>
      </c>
      <c r="E28" s="201"/>
    </row>
    <row r="29" spans="1:5" ht="15" thickBot="1">
      <c r="A29" s="126" t="s">
        <v>56</v>
      </c>
      <c r="B29" s="202">
        <v>135.98369907558802</v>
      </c>
      <c r="C29" s="202">
        <v>7.7337067213044284</v>
      </c>
      <c r="D29" s="203">
        <f t="shared" si="1"/>
        <v>4884.2361243364749</v>
      </c>
      <c r="E29" s="142">
        <v>11</v>
      </c>
    </row>
    <row r="30" spans="1:5">
      <c r="A30" s="69" t="s">
        <v>170</v>
      </c>
      <c r="B30" s="68"/>
      <c r="C30" s="68"/>
      <c r="D30" s="68"/>
      <c r="E30" s="48"/>
    </row>
    <row r="31" spans="1:5">
      <c r="A31" s="70" t="s">
        <v>171</v>
      </c>
      <c r="B31" s="68"/>
      <c r="C31" s="68"/>
      <c r="D31" s="68"/>
      <c r="E31" s="48"/>
    </row>
    <row r="32" spans="1:5">
      <c r="A32" s="70" t="s">
        <v>172</v>
      </c>
      <c r="B32" s="68"/>
      <c r="C32" s="68"/>
      <c r="D32" s="68"/>
      <c r="E32" s="48"/>
    </row>
    <row r="33" spans="1:5" ht="15" thickBot="1">
      <c r="A33" s="50"/>
      <c r="B33" s="49"/>
      <c r="C33" s="49"/>
      <c r="D33" s="49"/>
      <c r="E33" s="49"/>
    </row>
    <row r="34" spans="1:5" ht="51" thickBot="1">
      <c r="A34" s="200" t="s">
        <v>21</v>
      </c>
      <c r="B34" s="181" t="s">
        <v>173</v>
      </c>
      <c r="C34" s="181" t="s">
        <v>174</v>
      </c>
      <c r="D34" s="181" t="s">
        <v>126</v>
      </c>
      <c r="E34" s="182" t="s">
        <v>144</v>
      </c>
    </row>
    <row r="35" spans="1:5" ht="15" thickBot="1">
      <c r="A35" s="119" t="s">
        <v>58</v>
      </c>
      <c r="B35" s="1">
        <v>6009.8</v>
      </c>
      <c r="C35" s="1">
        <v>753.6</v>
      </c>
      <c r="D35" s="71">
        <f>(B35*1000)/C35</f>
        <v>7974.787685774947</v>
      </c>
      <c r="E35" s="139">
        <v>26</v>
      </c>
    </row>
    <row r="36" spans="1:5" ht="15" thickBot="1">
      <c r="A36" s="119" t="s">
        <v>59</v>
      </c>
      <c r="B36" s="1">
        <f>CONVERT(6.16,"PJ","GWh")</f>
        <v>1711.1111111111111</v>
      </c>
      <c r="C36" s="1">
        <v>480</v>
      </c>
      <c r="D36" s="71">
        <f>(B36*1000)/C36</f>
        <v>3564.8148148148148</v>
      </c>
      <c r="E36" s="139">
        <v>11</v>
      </c>
    </row>
    <row r="37" spans="1:5" ht="15" thickBot="1">
      <c r="A37" s="126" t="s">
        <v>60</v>
      </c>
      <c r="B37" s="141">
        <v>10922</v>
      </c>
      <c r="C37" s="141">
        <v>5470</v>
      </c>
      <c r="D37" s="203">
        <f>(B37*1000)/C37</f>
        <v>1996.709323583181</v>
      </c>
      <c r="E37" s="142">
        <v>46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0B6A-F1EE-4218-980E-09B006E962CF}">
  <dimension ref="A1:AH68"/>
  <sheetViews>
    <sheetView zoomScale="70" zoomScaleNormal="70" workbookViewId="0">
      <selection activeCell="F62" sqref="F62"/>
    </sheetView>
  </sheetViews>
  <sheetFormatPr defaultColWidth="11.44140625" defaultRowHeight="14.4"/>
  <cols>
    <col min="1" max="1" width="24" style="19" customWidth="1"/>
    <col min="2" max="2" width="33.44140625" style="19" customWidth="1"/>
    <col min="3" max="34" width="11.6640625" style="19" customWidth="1"/>
    <col min="35" max="16384" width="11.44140625" style="19"/>
  </cols>
  <sheetData>
    <row r="1" spans="1:34" ht="18">
      <c r="A1" s="114" t="s">
        <v>175</v>
      </c>
    </row>
    <row r="3" spans="1:34">
      <c r="A3" s="204" t="s">
        <v>176</v>
      </c>
    </row>
    <row r="4" spans="1:34">
      <c r="A4" s="205" t="s">
        <v>177</v>
      </c>
    </row>
    <row r="5" spans="1:34">
      <c r="A5" s="205" t="s">
        <v>178</v>
      </c>
    </row>
    <row r="6" spans="1:34">
      <c r="A6" s="205" t="s">
        <v>179</v>
      </c>
    </row>
    <row r="7" spans="1:34">
      <c r="A7" s="205" t="s">
        <v>180</v>
      </c>
    </row>
    <row r="8" spans="1:34">
      <c r="A8" s="205"/>
    </row>
    <row r="9" spans="1:34">
      <c r="A9" s="204" t="s">
        <v>181</v>
      </c>
    </row>
    <row r="10" spans="1:34">
      <c r="A10" s="204" t="s">
        <v>182</v>
      </c>
    </row>
    <row r="11" spans="1:34">
      <c r="A11" s="204" t="s">
        <v>183</v>
      </c>
    </row>
    <row r="13" spans="1:34" ht="15" thickBot="1"/>
    <row r="14" spans="1:34" ht="30" customHeight="1" thickBot="1">
      <c r="A14" s="200" t="s">
        <v>184</v>
      </c>
      <c r="B14" s="181" t="s">
        <v>185</v>
      </c>
      <c r="C14" s="181" t="s">
        <v>145</v>
      </c>
      <c r="D14" s="181" t="s">
        <v>186</v>
      </c>
      <c r="E14" s="181" t="s">
        <v>147</v>
      </c>
      <c r="F14" s="181" t="s">
        <v>148</v>
      </c>
      <c r="G14" s="181" t="s">
        <v>187</v>
      </c>
      <c r="H14" s="181" t="s">
        <v>188</v>
      </c>
      <c r="I14" s="181" t="s">
        <v>150</v>
      </c>
      <c r="J14" s="181" t="s">
        <v>189</v>
      </c>
      <c r="K14" s="181" t="s">
        <v>152</v>
      </c>
      <c r="L14" s="181" t="s">
        <v>153</v>
      </c>
      <c r="M14" s="181" t="s">
        <v>154</v>
      </c>
      <c r="N14" s="181" t="s">
        <v>190</v>
      </c>
      <c r="O14" s="181" t="s">
        <v>191</v>
      </c>
      <c r="P14" s="181" t="s">
        <v>192</v>
      </c>
      <c r="Q14" s="181" t="s">
        <v>158</v>
      </c>
      <c r="R14" s="181" t="s">
        <v>159</v>
      </c>
      <c r="S14" s="181" t="s">
        <v>160</v>
      </c>
      <c r="T14" s="181" t="s">
        <v>161</v>
      </c>
      <c r="U14" s="181" t="s">
        <v>193</v>
      </c>
      <c r="V14" s="181" t="s">
        <v>162</v>
      </c>
      <c r="W14" s="181" t="s">
        <v>163</v>
      </c>
      <c r="X14" s="181" t="s">
        <v>194</v>
      </c>
      <c r="Y14" s="181" t="s">
        <v>165</v>
      </c>
      <c r="Z14" s="181" t="s">
        <v>166</v>
      </c>
      <c r="AA14" s="181" t="s">
        <v>195</v>
      </c>
      <c r="AB14" s="181" t="s">
        <v>196</v>
      </c>
      <c r="AC14" s="181" t="s">
        <v>169</v>
      </c>
      <c r="AD14" s="181" t="s">
        <v>83</v>
      </c>
      <c r="AE14" s="181" t="s">
        <v>70</v>
      </c>
      <c r="AF14" s="181" t="s">
        <v>197</v>
      </c>
      <c r="AG14" s="181" t="s">
        <v>198</v>
      </c>
      <c r="AH14" s="182" t="s">
        <v>199</v>
      </c>
    </row>
    <row r="15" spans="1:34" ht="15" thickBot="1">
      <c r="A15" s="235" t="s">
        <v>110</v>
      </c>
      <c r="B15" s="14" t="s">
        <v>200</v>
      </c>
      <c r="C15" s="194">
        <v>748.83</v>
      </c>
      <c r="D15" s="194">
        <v>0</v>
      </c>
      <c r="E15" s="194">
        <v>2249.2040000000002</v>
      </c>
      <c r="F15" s="194">
        <v>0</v>
      </c>
      <c r="G15" s="194">
        <v>0</v>
      </c>
      <c r="H15" s="194">
        <v>16269.457</v>
      </c>
      <c r="I15" s="194">
        <v>4559.6000000000004</v>
      </c>
      <c r="J15" s="194">
        <v>0</v>
      </c>
      <c r="K15" s="194">
        <v>7208.0559999999996</v>
      </c>
      <c r="L15" s="194">
        <v>190.37200000000001</v>
      </c>
      <c r="M15" s="194">
        <v>34465.555999999997</v>
      </c>
      <c r="N15" s="194">
        <v>598.52599999999995</v>
      </c>
      <c r="O15" s="194">
        <v>108.611</v>
      </c>
      <c r="P15" s="194">
        <v>0</v>
      </c>
      <c r="Q15" s="194">
        <v>435.375</v>
      </c>
      <c r="R15" s="194">
        <v>16.8</v>
      </c>
      <c r="S15" s="194">
        <v>0</v>
      </c>
      <c r="T15" s="194">
        <v>0</v>
      </c>
      <c r="U15" s="194">
        <v>0</v>
      </c>
      <c r="V15" s="194">
        <v>644.71400000000006</v>
      </c>
      <c r="W15" s="194">
        <v>38333.339999999997</v>
      </c>
      <c r="X15" s="194">
        <v>0</v>
      </c>
      <c r="Y15" s="194">
        <v>3774.6280000000002</v>
      </c>
      <c r="Z15" s="194">
        <v>2203.6109999999999</v>
      </c>
      <c r="AA15" s="194">
        <v>1388.576</v>
      </c>
      <c r="AB15" s="194">
        <v>0</v>
      </c>
      <c r="AC15" s="194">
        <v>1173.8889999999999</v>
      </c>
      <c r="AD15" s="194"/>
      <c r="AE15" s="194">
        <v>0</v>
      </c>
      <c r="AF15" s="194">
        <v>0</v>
      </c>
      <c r="AG15" s="194">
        <v>67.778000000000006</v>
      </c>
      <c r="AH15" s="195">
        <v>5483.3329999999996</v>
      </c>
    </row>
    <row r="16" spans="1:34" ht="15" thickBot="1">
      <c r="A16" s="236"/>
      <c r="B16" s="14" t="s">
        <v>201</v>
      </c>
      <c r="C16" s="194">
        <v>47.167999999999999</v>
      </c>
      <c r="D16" s="194">
        <v>3.1659999999999999</v>
      </c>
      <c r="E16" s="194">
        <v>20.667999999999999</v>
      </c>
      <c r="F16" s="194">
        <v>0</v>
      </c>
      <c r="G16" s="194">
        <v>0</v>
      </c>
      <c r="H16" s="194">
        <v>238.85</v>
      </c>
      <c r="I16" s="194">
        <v>136.28</v>
      </c>
      <c r="J16" s="194">
        <v>19.443999999999999</v>
      </c>
      <c r="K16" s="194">
        <v>303.33299999999997</v>
      </c>
      <c r="L16" s="194">
        <v>2162.5519999999997</v>
      </c>
      <c r="M16" s="194">
        <v>395.55499999999995</v>
      </c>
      <c r="N16" s="194">
        <v>6.9240000000000004</v>
      </c>
      <c r="O16" s="194">
        <v>1.6659999999999999</v>
      </c>
      <c r="P16" s="194">
        <v>0</v>
      </c>
      <c r="Q16" s="194">
        <v>7550.5150000000003</v>
      </c>
      <c r="R16" s="194">
        <v>0.73399999999999999</v>
      </c>
      <c r="S16" s="194">
        <v>60.555999999999997</v>
      </c>
      <c r="T16" s="194">
        <v>1.028</v>
      </c>
      <c r="U16" s="194">
        <v>0</v>
      </c>
      <c r="V16" s="194">
        <v>897.30600000000004</v>
      </c>
      <c r="W16" s="194">
        <v>232.292</v>
      </c>
      <c r="X16" s="194">
        <v>24.538</v>
      </c>
      <c r="Y16" s="194">
        <v>851.15199999999993</v>
      </c>
      <c r="Z16" s="194">
        <v>13.334</v>
      </c>
      <c r="AA16" s="194">
        <v>11.511999999999999</v>
      </c>
      <c r="AB16" s="194">
        <v>0</v>
      </c>
      <c r="AC16" s="194">
        <v>1089.444</v>
      </c>
      <c r="AD16" s="194"/>
      <c r="AE16" s="194">
        <v>0</v>
      </c>
      <c r="AF16" s="194">
        <v>0</v>
      </c>
      <c r="AG16" s="194">
        <v>18.056000000000001</v>
      </c>
      <c r="AH16" s="195">
        <v>2694.444</v>
      </c>
    </row>
    <row r="17" spans="1:34" ht="15" thickBot="1">
      <c r="A17" s="236"/>
      <c r="B17" s="14" t="s">
        <v>202</v>
      </c>
      <c r="C17" s="194">
        <v>5866.6390000000001</v>
      </c>
      <c r="D17" s="194">
        <v>5161.0559999999996</v>
      </c>
      <c r="E17" s="194">
        <v>3836.91</v>
      </c>
      <c r="F17" s="194">
        <v>2266.9720000000002</v>
      </c>
      <c r="G17" s="194">
        <v>0</v>
      </c>
      <c r="H17" s="194">
        <v>2941.0360000000001</v>
      </c>
      <c r="I17" s="194">
        <v>2366.319</v>
      </c>
      <c r="J17" s="194">
        <v>39.167000000000002</v>
      </c>
      <c r="K17" s="194">
        <v>3951.1109999999999</v>
      </c>
      <c r="L17" s="194">
        <v>9185.6039999999994</v>
      </c>
      <c r="M17" s="194">
        <v>38493.610999999997</v>
      </c>
      <c r="N17" s="194">
        <v>0</v>
      </c>
      <c r="O17" s="194">
        <v>3882.7779999999998</v>
      </c>
      <c r="P17" s="194">
        <v>0</v>
      </c>
      <c r="Q17" s="194">
        <v>20579.137999999999</v>
      </c>
      <c r="R17" s="194">
        <v>1887.6320000000001</v>
      </c>
      <c r="S17" s="194">
        <v>1776.944</v>
      </c>
      <c r="T17" s="194">
        <v>250.79900000000001</v>
      </c>
      <c r="U17" s="194">
        <v>0</v>
      </c>
      <c r="V17" s="194">
        <v>14537.817999999999</v>
      </c>
      <c r="W17" s="194">
        <v>4163.6850000000004</v>
      </c>
      <c r="X17" s="194">
        <v>0</v>
      </c>
      <c r="Y17" s="194">
        <v>9266.17</v>
      </c>
      <c r="Z17" s="194">
        <v>1902.5</v>
      </c>
      <c r="AA17" s="194">
        <v>414.036</v>
      </c>
      <c r="AB17" s="194">
        <v>0</v>
      </c>
      <c r="AC17" s="194">
        <v>1213.8889999999999</v>
      </c>
      <c r="AD17" s="194"/>
      <c r="AE17" s="194">
        <v>0</v>
      </c>
      <c r="AF17" s="194">
        <v>0</v>
      </c>
      <c r="AG17" s="194">
        <v>11.667</v>
      </c>
      <c r="AH17" s="195">
        <v>6175</v>
      </c>
    </row>
    <row r="18" spans="1:34" ht="15" thickBot="1">
      <c r="A18" s="236"/>
      <c r="B18" s="14" t="s">
        <v>121</v>
      </c>
      <c r="C18" s="194">
        <v>1801.136</v>
      </c>
      <c r="D18" s="194">
        <v>815.94499999999994</v>
      </c>
      <c r="E18" s="194">
        <v>0</v>
      </c>
      <c r="F18" s="194">
        <v>0</v>
      </c>
      <c r="G18" s="194">
        <v>0</v>
      </c>
      <c r="H18" s="194">
        <v>246.77</v>
      </c>
      <c r="I18" s="194">
        <v>918.55</v>
      </c>
      <c r="J18" s="194">
        <v>474.44400000000002</v>
      </c>
      <c r="K18" s="194">
        <v>1881.6659999999999</v>
      </c>
      <c r="L18" s="194">
        <v>2581.1959999999999</v>
      </c>
      <c r="M18" s="194">
        <v>16125.556</v>
      </c>
      <c r="N18" s="194">
        <v>0</v>
      </c>
      <c r="O18" s="194">
        <v>286.11200000000002</v>
      </c>
      <c r="P18" s="194">
        <v>0</v>
      </c>
      <c r="Q18" s="194">
        <v>2964.634</v>
      </c>
      <c r="R18" s="194">
        <v>0</v>
      </c>
      <c r="S18" s="194">
        <v>391.11099999999999</v>
      </c>
      <c r="T18" s="194">
        <v>0</v>
      </c>
      <c r="U18" s="194">
        <v>0</v>
      </c>
      <c r="V18" s="194">
        <v>0</v>
      </c>
      <c r="W18" s="194">
        <v>130.52199999999999</v>
      </c>
      <c r="X18" s="194">
        <v>0</v>
      </c>
      <c r="Y18" s="194">
        <v>0</v>
      </c>
      <c r="Z18" s="194">
        <v>0</v>
      </c>
      <c r="AA18" s="194">
        <v>73.097999999999999</v>
      </c>
      <c r="AB18" s="194">
        <v>0</v>
      </c>
      <c r="AC18" s="194">
        <v>11000</v>
      </c>
      <c r="AD18" s="194"/>
      <c r="AE18" s="194">
        <v>0</v>
      </c>
      <c r="AF18" s="194">
        <v>0</v>
      </c>
      <c r="AG18" s="194">
        <v>1641.6659999999999</v>
      </c>
      <c r="AH18" s="195">
        <v>0</v>
      </c>
    </row>
    <row r="19" spans="1:34" ht="15" thickBot="1">
      <c r="A19" s="236"/>
      <c r="B19" s="14" t="s">
        <v>203</v>
      </c>
      <c r="C19" s="194">
        <v>3319.2330000000002</v>
      </c>
      <c r="D19" s="194">
        <v>195.167</v>
      </c>
      <c r="E19" s="194">
        <v>1224.3829999999998</v>
      </c>
      <c r="F19" s="194">
        <v>779.66700000000003</v>
      </c>
      <c r="G19" s="194">
        <v>0</v>
      </c>
      <c r="H19" s="194">
        <v>1358.8539999999998</v>
      </c>
      <c r="I19" s="194">
        <v>10251.128999999999</v>
      </c>
      <c r="J19" s="194">
        <v>2218.056</v>
      </c>
      <c r="K19" s="194">
        <v>9679.4439999999995</v>
      </c>
      <c r="L19" s="194">
        <v>6689.8869999999997</v>
      </c>
      <c r="M19" s="194">
        <v>9118.3340000000007</v>
      </c>
      <c r="N19" s="194">
        <v>0</v>
      </c>
      <c r="O19" s="194">
        <v>698.05600000000004</v>
      </c>
      <c r="P19" s="194">
        <v>0</v>
      </c>
      <c r="Q19" s="194">
        <v>7988.1689999999999</v>
      </c>
      <c r="R19" s="194">
        <v>2056.4589999999998</v>
      </c>
      <c r="S19" s="194">
        <v>1595.8330000000001</v>
      </c>
      <c r="T19" s="194">
        <v>371.68700000000001</v>
      </c>
      <c r="U19" s="194">
        <v>0</v>
      </c>
      <c r="V19" s="194">
        <v>888.34199999999998</v>
      </c>
      <c r="W19" s="194">
        <v>2842.9739999999997</v>
      </c>
      <c r="X19" s="194">
        <v>0</v>
      </c>
      <c r="Y19" s="194">
        <v>396.428</v>
      </c>
      <c r="Z19" s="194">
        <v>776.11099999999999</v>
      </c>
      <c r="AA19" s="194">
        <v>267.04399999999998</v>
      </c>
      <c r="AB19" s="194">
        <v>0</v>
      </c>
      <c r="AC19" s="194">
        <v>16339.167000000001</v>
      </c>
      <c r="AD19" s="194"/>
      <c r="AE19" s="194">
        <v>0</v>
      </c>
      <c r="AF19" s="194">
        <v>0</v>
      </c>
      <c r="AG19" s="194">
        <v>242.5</v>
      </c>
      <c r="AH19" s="195">
        <v>0</v>
      </c>
    </row>
    <row r="20" spans="1:34" ht="15" thickBot="1">
      <c r="A20" s="236"/>
      <c r="B20" s="14" t="s">
        <v>117</v>
      </c>
      <c r="C20" s="194">
        <v>0</v>
      </c>
      <c r="D20" s="194">
        <v>0</v>
      </c>
      <c r="E20" s="194">
        <v>0</v>
      </c>
      <c r="F20" s="194">
        <v>0</v>
      </c>
      <c r="G20" s="194">
        <v>0</v>
      </c>
      <c r="H20" s="194">
        <v>0</v>
      </c>
      <c r="I20" s="194">
        <v>0</v>
      </c>
      <c r="J20" s="194">
        <v>0</v>
      </c>
      <c r="K20" s="194">
        <v>0</v>
      </c>
      <c r="L20" s="194">
        <v>0</v>
      </c>
      <c r="M20" s="194">
        <v>0</v>
      </c>
      <c r="N20" s="194">
        <v>0</v>
      </c>
      <c r="O20" s="194">
        <v>0</v>
      </c>
      <c r="P20" s="194">
        <v>0</v>
      </c>
      <c r="Q20" s="194">
        <v>0</v>
      </c>
      <c r="R20" s="194">
        <v>0</v>
      </c>
      <c r="S20" s="194">
        <v>0</v>
      </c>
      <c r="T20" s="194">
        <v>0</v>
      </c>
      <c r="U20" s="194">
        <v>0</v>
      </c>
      <c r="V20" s="194">
        <v>0</v>
      </c>
      <c r="W20" s="194">
        <v>0</v>
      </c>
      <c r="X20" s="194">
        <v>0</v>
      </c>
      <c r="Y20" s="194">
        <v>0</v>
      </c>
      <c r="Z20" s="194">
        <v>0</v>
      </c>
      <c r="AA20" s="194">
        <v>0</v>
      </c>
      <c r="AB20" s="194">
        <v>0</v>
      </c>
      <c r="AC20" s="194">
        <v>0</v>
      </c>
      <c r="AD20" s="194"/>
      <c r="AE20" s="194">
        <v>0</v>
      </c>
      <c r="AF20" s="194">
        <v>2475.3270000000002</v>
      </c>
      <c r="AG20" s="194">
        <v>0</v>
      </c>
      <c r="AH20" s="195">
        <v>0</v>
      </c>
    </row>
    <row r="21" spans="1:34" ht="15" thickBot="1">
      <c r="A21" s="236"/>
      <c r="B21" s="14" t="s">
        <v>204</v>
      </c>
      <c r="C21" s="194">
        <v>0</v>
      </c>
      <c r="D21" s="194">
        <v>0</v>
      </c>
      <c r="E21" s="194">
        <v>0</v>
      </c>
      <c r="F21" s="194">
        <v>0</v>
      </c>
      <c r="G21" s="194">
        <v>0</v>
      </c>
      <c r="H21" s="194">
        <v>0</v>
      </c>
      <c r="I21" s="194">
        <v>0</v>
      </c>
      <c r="J21" s="194">
        <v>0</v>
      </c>
      <c r="K21" s="194">
        <v>0</v>
      </c>
      <c r="L21" s="194">
        <v>0</v>
      </c>
      <c r="M21" s="194">
        <v>0</v>
      </c>
      <c r="N21" s="194">
        <v>0</v>
      </c>
      <c r="O21" s="194">
        <v>0</v>
      </c>
      <c r="P21" s="194">
        <v>0</v>
      </c>
      <c r="Q21" s="194">
        <v>0</v>
      </c>
      <c r="R21" s="194">
        <v>0</v>
      </c>
      <c r="S21" s="194">
        <v>0</v>
      </c>
      <c r="T21" s="194">
        <v>0</v>
      </c>
      <c r="U21" s="194">
        <v>0</v>
      </c>
      <c r="V21" s="194">
        <v>0</v>
      </c>
      <c r="W21" s="194">
        <v>0</v>
      </c>
      <c r="X21" s="194">
        <v>0</v>
      </c>
      <c r="Y21" s="194">
        <v>0</v>
      </c>
      <c r="Z21" s="194">
        <v>0</v>
      </c>
      <c r="AA21" s="194">
        <v>0</v>
      </c>
      <c r="AB21" s="194">
        <v>0</v>
      </c>
      <c r="AC21" s="194">
        <v>0</v>
      </c>
      <c r="AD21" s="194"/>
      <c r="AE21" s="194">
        <v>0</v>
      </c>
      <c r="AF21" s="194">
        <v>0</v>
      </c>
      <c r="AG21" s="194">
        <v>0</v>
      </c>
      <c r="AH21" s="195">
        <v>0</v>
      </c>
    </row>
    <row r="22" spans="1:34" ht="15" thickBot="1">
      <c r="A22" s="236"/>
      <c r="B22" s="14" t="s">
        <v>205</v>
      </c>
      <c r="C22" s="194">
        <v>0</v>
      </c>
      <c r="D22" s="194">
        <v>0</v>
      </c>
      <c r="E22" s="194">
        <v>0</v>
      </c>
      <c r="F22" s="194">
        <v>0</v>
      </c>
      <c r="G22" s="194">
        <v>0</v>
      </c>
      <c r="H22" s="194">
        <v>0</v>
      </c>
      <c r="I22" s="194">
        <v>0</v>
      </c>
      <c r="J22" s="194">
        <v>0</v>
      </c>
      <c r="K22" s="194">
        <v>0</v>
      </c>
      <c r="L22" s="194">
        <v>0</v>
      </c>
      <c r="M22" s="194">
        <v>0</v>
      </c>
      <c r="N22" s="194">
        <v>0</v>
      </c>
      <c r="O22" s="194">
        <v>0</v>
      </c>
      <c r="P22" s="194">
        <v>0</v>
      </c>
      <c r="Q22" s="194">
        <v>0</v>
      </c>
      <c r="R22" s="194">
        <v>0</v>
      </c>
      <c r="S22" s="194">
        <v>0</v>
      </c>
      <c r="T22" s="194">
        <v>0</v>
      </c>
      <c r="U22" s="194">
        <v>0</v>
      </c>
      <c r="V22" s="194">
        <v>0</v>
      </c>
      <c r="W22" s="194">
        <v>0</v>
      </c>
      <c r="X22" s="194">
        <v>0</v>
      </c>
      <c r="Y22" s="194">
        <v>0</v>
      </c>
      <c r="Z22" s="194">
        <v>5.2779999999999996</v>
      </c>
      <c r="AA22" s="194">
        <v>0</v>
      </c>
      <c r="AB22" s="194">
        <v>0</v>
      </c>
      <c r="AC22" s="194">
        <v>1111.1110000000001</v>
      </c>
      <c r="AD22" s="194"/>
      <c r="AE22" s="194">
        <v>0</v>
      </c>
      <c r="AF22" s="194">
        <v>0</v>
      </c>
      <c r="AG22" s="194">
        <v>0</v>
      </c>
      <c r="AH22" s="195">
        <v>0</v>
      </c>
    </row>
    <row r="23" spans="1:34" ht="15" thickBot="1">
      <c r="A23" s="237"/>
      <c r="B23" s="14" t="s">
        <v>206</v>
      </c>
      <c r="C23" s="194">
        <v>317.12700000000001</v>
      </c>
      <c r="D23" s="194">
        <v>322.63900000000001</v>
      </c>
      <c r="E23" s="194">
        <v>0</v>
      </c>
      <c r="F23" s="194">
        <v>0</v>
      </c>
      <c r="G23" s="194">
        <v>0</v>
      </c>
      <c r="H23" s="194">
        <v>174.25200000000001</v>
      </c>
      <c r="I23" s="194">
        <v>561.33600000000001</v>
      </c>
      <c r="J23" s="194">
        <v>57.5</v>
      </c>
      <c r="K23" s="194">
        <v>1383.3330000000001</v>
      </c>
      <c r="L23" s="194">
        <v>1268.77</v>
      </c>
      <c r="M23" s="194">
        <v>6975.2780000000002</v>
      </c>
      <c r="N23" s="194">
        <v>0</v>
      </c>
      <c r="O23" s="194">
        <v>143.333</v>
      </c>
      <c r="P23" s="194">
        <v>0</v>
      </c>
      <c r="Q23" s="194">
        <v>1436.9110000000001</v>
      </c>
      <c r="R23" s="194">
        <v>0</v>
      </c>
      <c r="S23" s="194">
        <v>115.27800000000001</v>
      </c>
      <c r="T23" s="194">
        <v>0</v>
      </c>
      <c r="U23" s="194">
        <v>0</v>
      </c>
      <c r="V23" s="194">
        <v>0</v>
      </c>
      <c r="W23" s="194">
        <v>0</v>
      </c>
      <c r="X23" s="194">
        <v>0</v>
      </c>
      <c r="Y23" s="194">
        <v>0</v>
      </c>
      <c r="Z23" s="194">
        <v>0</v>
      </c>
      <c r="AA23" s="194">
        <v>0</v>
      </c>
      <c r="AB23" s="194">
        <v>0</v>
      </c>
      <c r="AC23" s="194">
        <v>5808.3329999999996</v>
      </c>
      <c r="AD23" s="194"/>
      <c r="AE23" s="194">
        <v>0</v>
      </c>
      <c r="AF23" s="194">
        <v>0</v>
      </c>
      <c r="AG23" s="194">
        <v>820.83299999999997</v>
      </c>
      <c r="AH23" s="195">
        <v>0</v>
      </c>
    </row>
    <row r="24" spans="1:34" ht="15" thickBot="1">
      <c r="A24" s="235" t="s">
        <v>207</v>
      </c>
      <c r="B24" s="14" t="s">
        <v>200</v>
      </c>
      <c r="C24" s="194">
        <v>0</v>
      </c>
      <c r="D24" s="194">
        <v>0</v>
      </c>
      <c r="E24" s="194">
        <v>79.989999999999995</v>
      </c>
      <c r="F24" s="194">
        <v>0</v>
      </c>
      <c r="G24" s="194">
        <v>0</v>
      </c>
      <c r="H24" s="194">
        <v>371.69099999999997</v>
      </c>
      <c r="I24" s="194">
        <v>26.15</v>
      </c>
      <c r="J24" s="194">
        <v>0</v>
      </c>
      <c r="K24" s="194">
        <v>753.33299999999997</v>
      </c>
      <c r="L24" s="194">
        <v>1193.3330000000001</v>
      </c>
      <c r="M24" s="194">
        <v>2546.6669999999999</v>
      </c>
      <c r="N24" s="194">
        <v>0</v>
      </c>
      <c r="O24" s="194">
        <v>126.389</v>
      </c>
      <c r="P24" s="194">
        <v>0</v>
      </c>
      <c r="Q24" s="194">
        <v>0</v>
      </c>
      <c r="R24" s="194">
        <v>3.87</v>
      </c>
      <c r="S24" s="194">
        <v>14.444000000000001</v>
      </c>
      <c r="T24" s="194">
        <v>0</v>
      </c>
      <c r="U24" s="194">
        <v>0</v>
      </c>
      <c r="V24" s="194">
        <v>0</v>
      </c>
      <c r="W24" s="194">
        <v>23724.983</v>
      </c>
      <c r="X24" s="194">
        <v>0</v>
      </c>
      <c r="Y24" s="194">
        <v>18.061</v>
      </c>
      <c r="Z24" s="194">
        <v>15.555999999999999</v>
      </c>
      <c r="AA24" s="194">
        <v>12.372999999999999</v>
      </c>
      <c r="AB24" s="194">
        <v>0</v>
      </c>
      <c r="AC24" s="194">
        <v>0</v>
      </c>
      <c r="AD24" s="194"/>
      <c r="AE24" s="194">
        <v>0</v>
      </c>
      <c r="AF24" s="194">
        <v>0</v>
      </c>
      <c r="AG24" s="194">
        <v>0</v>
      </c>
      <c r="AH24" s="195">
        <v>4035.556</v>
      </c>
    </row>
    <row r="25" spans="1:34" ht="15" thickBot="1">
      <c r="A25" s="236"/>
      <c r="B25" s="14" t="s">
        <v>201</v>
      </c>
      <c r="C25" s="194">
        <v>487.17599999999999</v>
      </c>
      <c r="D25" s="194">
        <v>0</v>
      </c>
      <c r="E25" s="194">
        <v>0.96399999999999997</v>
      </c>
      <c r="F25" s="194">
        <v>99.722000000000008</v>
      </c>
      <c r="G25" s="194">
        <v>0</v>
      </c>
      <c r="H25" s="194">
        <v>41.499000000000002</v>
      </c>
      <c r="I25" s="194">
        <v>376.17099999999999</v>
      </c>
      <c r="J25" s="194">
        <v>288.88799999999998</v>
      </c>
      <c r="K25" s="194">
        <v>2758.6109999999999</v>
      </c>
      <c r="L25" s="194">
        <v>365.27800000000002</v>
      </c>
      <c r="M25" s="194">
        <v>1915.2769999999998</v>
      </c>
      <c r="N25" s="194">
        <v>0</v>
      </c>
      <c r="O25" s="194">
        <v>29.443999999999999</v>
      </c>
      <c r="P25" s="194">
        <v>0</v>
      </c>
      <c r="Q25" s="194">
        <v>97.061999999999998</v>
      </c>
      <c r="R25" s="194">
        <v>34.451999999999998</v>
      </c>
      <c r="S25" s="194">
        <v>138.334</v>
      </c>
      <c r="T25" s="194">
        <v>4.726</v>
      </c>
      <c r="U25" s="194">
        <v>0</v>
      </c>
      <c r="V25" s="194">
        <v>1119.299</v>
      </c>
      <c r="W25" s="194">
        <v>421.512</v>
      </c>
      <c r="X25" s="194">
        <v>0</v>
      </c>
      <c r="Y25" s="194">
        <v>1147.5149999999999</v>
      </c>
      <c r="Z25" s="194">
        <v>0</v>
      </c>
      <c r="AA25" s="194">
        <v>50.437000000000005</v>
      </c>
      <c r="AB25" s="194">
        <v>0</v>
      </c>
      <c r="AC25" s="194">
        <v>667.5</v>
      </c>
      <c r="AD25" s="194"/>
      <c r="AE25" s="194">
        <v>0</v>
      </c>
      <c r="AF25" s="194">
        <v>34.155999999999999</v>
      </c>
      <c r="AG25" s="194">
        <v>174.44400000000002</v>
      </c>
      <c r="AH25" s="195">
        <v>516.11099999999999</v>
      </c>
    </row>
    <row r="26" spans="1:34" ht="15" thickBot="1">
      <c r="A26" s="236"/>
      <c r="B26" s="14" t="s">
        <v>202</v>
      </c>
      <c r="C26" s="194">
        <v>2259.366</v>
      </c>
      <c r="D26" s="194">
        <v>5.6000000000000001E-2</v>
      </c>
      <c r="E26" s="194">
        <v>2298.3249999999998</v>
      </c>
      <c r="F26" s="194">
        <v>430.13900000000001</v>
      </c>
      <c r="G26" s="194">
        <v>0</v>
      </c>
      <c r="H26" s="194">
        <v>4132.8689999999997</v>
      </c>
      <c r="I26" s="194">
        <v>3691.3560000000002</v>
      </c>
      <c r="J26" s="194">
        <v>1090</v>
      </c>
      <c r="K26" s="194">
        <v>2917.5</v>
      </c>
      <c r="L26" s="194">
        <v>7007.7780000000002</v>
      </c>
      <c r="M26" s="194">
        <v>18289.722000000002</v>
      </c>
      <c r="N26" s="194">
        <v>0</v>
      </c>
      <c r="O26" s="194">
        <v>5386.3890000000001</v>
      </c>
      <c r="P26" s="194">
        <v>0</v>
      </c>
      <c r="Q26" s="194">
        <v>2907.623</v>
      </c>
      <c r="R26" s="194">
        <v>2258.297</v>
      </c>
      <c r="S26" s="194">
        <v>1039.444</v>
      </c>
      <c r="T26" s="194">
        <v>53.069000000000003</v>
      </c>
      <c r="U26" s="194">
        <v>0</v>
      </c>
      <c r="V26" s="194">
        <v>779.43600000000004</v>
      </c>
      <c r="W26" s="194">
        <v>1836.1179999999999</v>
      </c>
      <c r="X26" s="194">
        <v>0</v>
      </c>
      <c r="Y26" s="194">
        <v>3695.9769999999999</v>
      </c>
      <c r="Z26" s="194">
        <v>1591.6669999999999</v>
      </c>
      <c r="AA26" s="194">
        <v>261.20800000000003</v>
      </c>
      <c r="AB26" s="194">
        <v>0</v>
      </c>
      <c r="AC26" s="194">
        <v>53.332999999999998</v>
      </c>
      <c r="AD26" s="194"/>
      <c r="AE26" s="194">
        <v>0</v>
      </c>
      <c r="AF26" s="194">
        <v>0</v>
      </c>
      <c r="AG26" s="194">
        <v>131.11099999999999</v>
      </c>
      <c r="AH26" s="195">
        <v>51421.110999999997</v>
      </c>
    </row>
    <row r="27" spans="1:34" ht="15" thickBot="1">
      <c r="A27" s="236"/>
      <c r="B27" s="14" t="s">
        <v>121</v>
      </c>
      <c r="C27" s="194">
        <v>537.25199999999995</v>
      </c>
      <c r="D27" s="194">
        <v>2.444</v>
      </c>
      <c r="E27" s="194">
        <v>25.954000000000001</v>
      </c>
      <c r="F27" s="194">
        <v>0</v>
      </c>
      <c r="G27" s="194">
        <v>0</v>
      </c>
      <c r="H27" s="194">
        <v>0</v>
      </c>
      <c r="I27" s="194">
        <v>139.078</v>
      </c>
      <c r="J27" s="194">
        <v>0</v>
      </c>
      <c r="K27" s="194">
        <v>356.11200000000002</v>
      </c>
      <c r="L27" s="194">
        <v>3150.0279999999998</v>
      </c>
      <c r="M27" s="194">
        <v>6889.4439999999995</v>
      </c>
      <c r="N27" s="194">
        <v>0</v>
      </c>
      <c r="O27" s="194">
        <v>0</v>
      </c>
      <c r="P27" s="194">
        <v>0</v>
      </c>
      <c r="Q27" s="194">
        <v>0</v>
      </c>
      <c r="R27" s="194">
        <v>0</v>
      </c>
      <c r="S27" s="194">
        <v>0</v>
      </c>
      <c r="T27" s="194">
        <v>0</v>
      </c>
      <c r="U27" s="194">
        <v>0</v>
      </c>
      <c r="V27" s="194">
        <v>0</v>
      </c>
      <c r="W27" s="194">
        <v>17.303999999999998</v>
      </c>
      <c r="X27" s="194">
        <v>0</v>
      </c>
      <c r="Y27" s="194">
        <v>0</v>
      </c>
      <c r="Z27" s="194">
        <v>0</v>
      </c>
      <c r="AA27" s="194">
        <v>0</v>
      </c>
      <c r="AB27" s="194">
        <v>0</v>
      </c>
      <c r="AC27" s="194">
        <v>1112.222</v>
      </c>
      <c r="AD27" s="194"/>
      <c r="AE27" s="194">
        <v>0</v>
      </c>
      <c r="AF27" s="194">
        <v>0</v>
      </c>
      <c r="AG27" s="194">
        <v>1282.222</v>
      </c>
      <c r="AH27" s="195">
        <v>0</v>
      </c>
    </row>
    <row r="28" spans="1:34" ht="15" thickBot="1">
      <c r="A28" s="236"/>
      <c r="B28" s="14" t="s">
        <v>203</v>
      </c>
      <c r="C28" s="194">
        <v>6026.5119999999997</v>
      </c>
      <c r="D28" s="194">
        <v>0</v>
      </c>
      <c r="E28" s="194">
        <v>16.204000000000001</v>
      </c>
      <c r="F28" s="194">
        <v>0.63900000000000001</v>
      </c>
      <c r="G28" s="194">
        <v>0</v>
      </c>
      <c r="H28" s="194">
        <v>229.416</v>
      </c>
      <c r="I28" s="194">
        <v>5770.6810000000005</v>
      </c>
      <c r="J28" s="194">
        <v>1388.3330000000001</v>
      </c>
      <c r="K28" s="194">
        <v>7785.5560000000005</v>
      </c>
      <c r="L28" s="194">
        <v>5253.1260000000002</v>
      </c>
      <c r="M28" s="194">
        <v>1743.8889999999999</v>
      </c>
      <c r="N28" s="194">
        <v>0</v>
      </c>
      <c r="O28" s="194">
        <v>434.72199999999998</v>
      </c>
      <c r="P28" s="194">
        <v>0</v>
      </c>
      <c r="Q28" s="194">
        <v>942.74400000000003</v>
      </c>
      <c r="R28" s="194">
        <v>1491.4850000000001</v>
      </c>
      <c r="S28" s="194">
        <v>4355.5559999999996</v>
      </c>
      <c r="T28" s="194">
        <v>49.334000000000003</v>
      </c>
      <c r="U28" s="194">
        <v>0</v>
      </c>
      <c r="V28" s="194">
        <v>348.72199999999998</v>
      </c>
      <c r="W28" s="194">
        <v>743.00300000000004</v>
      </c>
      <c r="X28" s="194">
        <v>0</v>
      </c>
      <c r="Y28" s="194">
        <v>77.664000000000001</v>
      </c>
      <c r="Z28" s="194">
        <v>374.72200000000004</v>
      </c>
      <c r="AA28" s="194">
        <v>120.87</v>
      </c>
      <c r="AB28" s="194">
        <v>0</v>
      </c>
      <c r="AC28" s="194">
        <v>8617.2209999999995</v>
      </c>
      <c r="AD28" s="194"/>
      <c r="AE28" s="194">
        <v>0</v>
      </c>
      <c r="AF28" s="194">
        <v>0</v>
      </c>
      <c r="AG28" s="194">
        <v>1128.0550000000001</v>
      </c>
      <c r="AH28" s="195">
        <v>74.444000000000003</v>
      </c>
    </row>
    <row r="29" spans="1:34" ht="15" thickBot="1">
      <c r="A29" s="236"/>
      <c r="B29" s="14" t="s">
        <v>117</v>
      </c>
      <c r="C29" s="194">
        <v>141.67699999999999</v>
      </c>
      <c r="D29" s="194">
        <v>14.583</v>
      </c>
      <c r="E29" s="194">
        <v>0</v>
      </c>
      <c r="F29" s="194">
        <v>0</v>
      </c>
      <c r="G29" s="194">
        <v>0</v>
      </c>
      <c r="H29" s="194">
        <v>0</v>
      </c>
      <c r="I29" s="194">
        <v>15.292999999999999</v>
      </c>
      <c r="J29" s="194">
        <v>0</v>
      </c>
      <c r="K29" s="194">
        <v>0</v>
      </c>
      <c r="L29" s="194">
        <v>1565.624</v>
      </c>
      <c r="M29" s="194">
        <v>251.38900000000001</v>
      </c>
      <c r="N29" s="194">
        <v>0</v>
      </c>
      <c r="O29" s="194">
        <v>530.27800000000002</v>
      </c>
      <c r="P29" s="194">
        <v>0</v>
      </c>
      <c r="Q29" s="194">
        <v>243.78299999999999</v>
      </c>
      <c r="R29" s="194">
        <v>0</v>
      </c>
      <c r="S29" s="194">
        <v>0</v>
      </c>
      <c r="T29" s="194">
        <v>0</v>
      </c>
      <c r="U29" s="194">
        <v>0</v>
      </c>
      <c r="V29" s="194">
        <v>0</v>
      </c>
      <c r="W29" s="194">
        <v>0</v>
      </c>
      <c r="X29" s="194">
        <v>0</v>
      </c>
      <c r="Y29" s="194">
        <v>68.200999999999993</v>
      </c>
      <c r="Z29" s="194">
        <v>32.222000000000001</v>
      </c>
      <c r="AA29" s="194">
        <v>5.3739999999999997</v>
      </c>
      <c r="AB29" s="194">
        <v>0</v>
      </c>
      <c r="AC29" s="194">
        <v>0</v>
      </c>
      <c r="AD29" s="194"/>
      <c r="AE29" s="194">
        <v>0</v>
      </c>
      <c r="AF29" s="194">
        <v>5951.0860000000002</v>
      </c>
      <c r="AG29" s="194">
        <v>0</v>
      </c>
      <c r="AH29" s="195">
        <v>0</v>
      </c>
    </row>
    <row r="30" spans="1:34" ht="15" thickBot="1">
      <c r="A30" s="236"/>
      <c r="B30" s="14" t="s">
        <v>204</v>
      </c>
      <c r="C30" s="194">
        <v>25.943000000000001</v>
      </c>
      <c r="D30" s="194">
        <v>0</v>
      </c>
      <c r="E30" s="194">
        <v>0</v>
      </c>
      <c r="F30" s="194">
        <v>0</v>
      </c>
      <c r="G30" s="194">
        <v>0</v>
      </c>
      <c r="H30" s="194">
        <v>0</v>
      </c>
      <c r="I30" s="194">
        <v>600.19799999999998</v>
      </c>
      <c r="J30" s="194">
        <v>0</v>
      </c>
      <c r="K30" s="194">
        <v>0</v>
      </c>
      <c r="L30" s="194">
        <v>0</v>
      </c>
      <c r="M30" s="194">
        <v>2.222</v>
      </c>
      <c r="N30" s="194">
        <v>0</v>
      </c>
      <c r="O30" s="194">
        <v>0</v>
      </c>
      <c r="P30" s="194">
        <v>0</v>
      </c>
      <c r="Q30" s="194">
        <v>1.6319999999999999</v>
      </c>
      <c r="R30" s="194">
        <v>0</v>
      </c>
      <c r="S30" s="194">
        <v>0</v>
      </c>
      <c r="T30" s="194">
        <v>1.7000000000000001E-2</v>
      </c>
      <c r="U30" s="194">
        <v>0</v>
      </c>
      <c r="V30" s="194">
        <v>0</v>
      </c>
      <c r="W30" s="194">
        <v>0</v>
      </c>
      <c r="X30" s="194">
        <v>0</v>
      </c>
      <c r="Y30" s="194">
        <v>0</v>
      </c>
      <c r="Z30" s="194">
        <v>0.27800000000000002</v>
      </c>
      <c r="AA30" s="194">
        <v>0</v>
      </c>
      <c r="AB30" s="194">
        <v>0</v>
      </c>
      <c r="AC30" s="194">
        <v>0</v>
      </c>
      <c r="AD30" s="194"/>
      <c r="AE30" s="194">
        <v>0</v>
      </c>
      <c r="AF30" s="194">
        <v>0</v>
      </c>
      <c r="AG30" s="194">
        <v>0</v>
      </c>
      <c r="AH30" s="195">
        <v>0</v>
      </c>
    </row>
    <row r="31" spans="1:34" ht="15" thickBot="1">
      <c r="A31" s="236"/>
      <c r="B31" s="14" t="s">
        <v>205</v>
      </c>
      <c r="C31" s="194">
        <v>0</v>
      </c>
      <c r="D31" s="194">
        <v>0</v>
      </c>
      <c r="E31" s="194">
        <v>0</v>
      </c>
      <c r="F31" s="194">
        <v>0</v>
      </c>
      <c r="G31" s="194">
        <v>0</v>
      </c>
      <c r="H31" s="194">
        <v>23.332999999999998</v>
      </c>
      <c r="I31" s="194">
        <v>84.402000000000001</v>
      </c>
      <c r="J31" s="194">
        <v>0</v>
      </c>
      <c r="K31" s="194">
        <v>0</v>
      </c>
      <c r="L31" s="194">
        <v>201.7</v>
      </c>
      <c r="M31" s="194">
        <v>0.27800000000000002</v>
      </c>
      <c r="N31" s="194">
        <v>0</v>
      </c>
      <c r="O31" s="194">
        <v>0</v>
      </c>
      <c r="P31" s="194">
        <v>0</v>
      </c>
      <c r="Q31" s="194">
        <v>0</v>
      </c>
      <c r="R31" s="194">
        <v>0</v>
      </c>
      <c r="S31" s="194">
        <v>0</v>
      </c>
      <c r="T31" s="194">
        <v>0</v>
      </c>
      <c r="U31" s="194">
        <v>0</v>
      </c>
      <c r="V31" s="194">
        <v>0</v>
      </c>
      <c r="W31" s="194">
        <v>0</v>
      </c>
      <c r="X31" s="194">
        <v>0</v>
      </c>
      <c r="Y31" s="194">
        <v>0</v>
      </c>
      <c r="Z31" s="194">
        <v>2.778</v>
      </c>
      <c r="AA31" s="194">
        <v>0</v>
      </c>
      <c r="AB31" s="194">
        <v>0</v>
      </c>
      <c r="AC31" s="194">
        <v>2150</v>
      </c>
      <c r="AD31" s="194"/>
      <c r="AE31" s="194">
        <v>0</v>
      </c>
      <c r="AF31" s="194">
        <v>0</v>
      </c>
      <c r="AG31" s="194">
        <v>0</v>
      </c>
      <c r="AH31" s="195">
        <v>0</v>
      </c>
    </row>
    <row r="32" spans="1:34" ht="15" thickBot="1">
      <c r="A32" s="237"/>
      <c r="B32" s="14" t="s">
        <v>206</v>
      </c>
      <c r="C32" s="194">
        <v>166.608</v>
      </c>
      <c r="D32" s="194">
        <v>1.222</v>
      </c>
      <c r="E32" s="194">
        <v>0</v>
      </c>
      <c r="F32" s="194">
        <v>0</v>
      </c>
      <c r="G32" s="194">
        <v>0</v>
      </c>
      <c r="H32" s="194">
        <v>0</v>
      </c>
      <c r="I32" s="194">
        <v>84.992000000000004</v>
      </c>
      <c r="J32" s="194">
        <v>0</v>
      </c>
      <c r="K32" s="194">
        <v>249.167</v>
      </c>
      <c r="L32" s="194">
        <v>1575.0139999999999</v>
      </c>
      <c r="M32" s="194">
        <v>3034.444</v>
      </c>
      <c r="N32" s="194">
        <v>0</v>
      </c>
      <c r="O32" s="194">
        <v>0</v>
      </c>
      <c r="P32" s="194">
        <v>0</v>
      </c>
      <c r="Q32" s="194">
        <v>0</v>
      </c>
      <c r="R32" s="194">
        <v>0</v>
      </c>
      <c r="S32" s="194">
        <v>0</v>
      </c>
      <c r="T32" s="194">
        <v>0</v>
      </c>
      <c r="U32" s="194">
        <v>0</v>
      </c>
      <c r="V32" s="194">
        <v>0</v>
      </c>
      <c r="W32" s="194">
        <v>1.0529999999999999</v>
      </c>
      <c r="X32" s="194">
        <v>0</v>
      </c>
      <c r="Y32" s="194">
        <v>0</v>
      </c>
      <c r="Z32" s="194">
        <v>0</v>
      </c>
      <c r="AA32" s="194">
        <v>0</v>
      </c>
      <c r="AB32" s="194">
        <v>0</v>
      </c>
      <c r="AC32" s="194">
        <v>602.5</v>
      </c>
      <c r="AD32" s="194"/>
      <c r="AE32" s="194">
        <v>0</v>
      </c>
      <c r="AF32" s="194">
        <v>0</v>
      </c>
      <c r="AG32" s="194">
        <v>641.11099999999999</v>
      </c>
      <c r="AH32" s="195">
        <v>0</v>
      </c>
    </row>
    <row r="33" spans="1:34" ht="15" thickBot="1">
      <c r="A33" s="233" t="s">
        <v>208</v>
      </c>
      <c r="B33" s="234"/>
      <c r="C33" s="198">
        <v>21744.667000000001</v>
      </c>
      <c r="D33" s="198">
        <v>6516.2779999999993</v>
      </c>
      <c r="E33" s="198">
        <v>9752.601999999999</v>
      </c>
      <c r="F33" s="198">
        <v>3577.1390000000006</v>
      </c>
      <c r="G33" s="198">
        <v>0</v>
      </c>
      <c r="H33" s="198">
        <v>26028.026999999998</v>
      </c>
      <c r="I33" s="198">
        <v>29581.535</v>
      </c>
      <c r="J33" s="198">
        <v>5575.8320000000003</v>
      </c>
      <c r="K33" s="198">
        <v>39227.222000000002</v>
      </c>
      <c r="L33" s="198">
        <v>42390.262000000002</v>
      </c>
      <c r="M33" s="198">
        <v>140247.22199999998</v>
      </c>
      <c r="N33" s="198">
        <v>605.44999999999993</v>
      </c>
      <c r="O33" s="198">
        <v>11627.778</v>
      </c>
      <c r="P33" s="198">
        <v>0</v>
      </c>
      <c r="Q33" s="198">
        <v>45147.585999999996</v>
      </c>
      <c r="R33" s="198">
        <v>7749.7290000000012</v>
      </c>
      <c r="S33" s="198">
        <v>9487.5</v>
      </c>
      <c r="T33" s="198">
        <v>730.66000000000008</v>
      </c>
      <c r="U33" s="198">
        <v>0</v>
      </c>
      <c r="V33" s="198">
        <v>19215.637000000002</v>
      </c>
      <c r="W33" s="198">
        <v>72446.786000000007</v>
      </c>
      <c r="X33" s="198">
        <v>24.538</v>
      </c>
      <c r="Y33" s="198">
        <v>19295.796000000002</v>
      </c>
      <c r="Z33" s="198">
        <v>6918.0569999999989</v>
      </c>
      <c r="AA33" s="198">
        <v>2604.5279999999998</v>
      </c>
      <c r="AB33" s="198">
        <v>0</v>
      </c>
      <c r="AC33" s="198">
        <v>50938.609000000004</v>
      </c>
      <c r="AD33" s="198"/>
      <c r="AE33" s="198">
        <v>0</v>
      </c>
      <c r="AF33" s="198">
        <v>8460.5689999999995</v>
      </c>
      <c r="AG33" s="198">
        <v>6159.4430000000002</v>
      </c>
      <c r="AH33" s="199">
        <v>70399.998999999996</v>
      </c>
    </row>
    <row r="34" spans="1:34">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row>
    <row r="35" spans="1:34" ht="15" thickBot="1">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c r="AE35" s="206"/>
      <c r="AF35" s="206"/>
      <c r="AG35" s="206"/>
      <c r="AH35" s="206"/>
    </row>
    <row r="36" spans="1:34" ht="30" customHeight="1" thickBot="1">
      <c r="A36" s="200" t="s">
        <v>209</v>
      </c>
      <c r="B36" s="181" t="s">
        <v>210</v>
      </c>
      <c r="C36" s="181" t="s">
        <v>145</v>
      </c>
      <c r="D36" s="181" t="s">
        <v>186</v>
      </c>
      <c r="E36" s="181" t="s">
        <v>147</v>
      </c>
      <c r="F36" s="181" t="s">
        <v>148</v>
      </c>
      <c r="G36" s="181" t="s">
        <v>187</v>
      </c>
      <c r="H36" s="181" t="s">
        <v>188</v>
      </c>
      <c r="I36" s="181" t="s">
        <v>150</v>
      </c>
      <c r="J36" s="181" t="s">
        <v>189</v>
      </c>
      <c r="K36" s="181" t="s">
        <v>152</v>
      </c>
      <c r="L36" s="181" t="s">
        <v>153</v>
      </c>
      <c r="M36" s="181" t="s">
        <v>154</v>
      </c>
      <c r="N36" s="181" t="s">
        <v>190</v>
      </c>
      <c r="O36" s="181" t="s">
        <v>191</v>
      </c>
      <c r="P36" s="181" t="s">
        <v>192</v>
      </c>
      <c r="Q36" s="181" t="s">
        <v>158</v>
      </c>
      <c r="R36" s="181" t="s">
        <v>159</v>
      </c>
      <c r="S36" s="181" t="s">
        <v>160</v>
      </c>
      <c r="T36" s="181" t="s">
        <v>161</v>
      </c>
      <c r="U36" s="181" t="s">
        <v>193</v>
      </c>
      <c r="V36" s="181" t="s">
        <v>162</v>
      </c>
      <c r="W36" s="181" t="s">
        <v>163</v>
      </c>
      <c r="X36" s="181" t="s">
        <v>194</v>
      </c>
      <c r="Y36" s="181" t="s">
        <v>165</v>
      </c>
      <c r="Z36" s="181" t="s">
        <v>166</v>
      </c>
      <c r="AA36" s="181" t="s">
        <v>195</v>
      </c>
      <c r="AB36" s="181" t="s">
        <v>196</v>
      </c>
      <c r="AC36" s="181" t="s">
        <v>169</v>
      </c>
      <c r="AD36" s="181" t="s">
        <v>83</v>
      </c>
      <c r="AE36" s="181" t="s">
        <v>70</v>
      </c>
      <c r="AF36" s="181" t="s">
        <v>197</v>
      </c>
      <c r="AG36" s="181" t="s">
        <v>211</v>
      </c>
      <c r="AH36" s="182" t="s">
        <v>199</v>
      </c>
    </row>
    <row r="37" spans="1:34" ht="15" thickBot="1">
      <c r="A37" s="235" t="s">
        <v>110</v>
      </c>
      <c r="B37" s="14" t="s">
        <v>200</v>
      </c>
      <c r="C37" s="194">
        <v>56.207999999999998</v>
      </c>
      <c r="D37" s="194">
        <v>0</v>
      </c>
      <c r="E37" s="194">
        <v>0</v>
      </c>
      <c r="F37" s="194">
        <v>0</v>
      </c>
      <c r="G37" s="194">
        <v>0</v>
      </c>
      <c r="H37" s="194">
        <v>1065.201</v>
      </c>
      <c r="I37" s="194">
        <v>0</v>
      </c>
      <c r="J37" s="194">
        <v>0</v>
      </c>
      <c r="K37" s="194">
        <v>27.777999999999999</v>
      </c>
      <c r="L37" s="194">
        <v>124.181</v>
      </c>
      <c r="M37" s="194">
        <v>0</v>
      </c>
      <c r="N37" s="194">
        <v>0</v>
      </c>
      <c r="O37" s="194">
        <v>0</v>
      </c>
      <c r="P37" s="194">
        <v>0</v>
      </c>
      <c r="Q37" s="194">
        <v>104.167</v>
      </c>
      <c r="R37" s="194">
        <v>0</v>
      </c>
      <c r="S37" s="194">
        <v>0</v>
      </c>
      <c r="T37" s="194">
        <v>0</v>
      </c>
      <c r="U37" s="194">
        <v>0</v>
      </c>
      <c r="V37" s="194">
        <v>0</v>
      </c>
      <c r="W37" s="194">
        <v>1665.2470000000001</v>
      </c>
      <c r="X37" s="194">
        <v>0</v>
      </c>
      <c r="Y37" s="194">
        <v>0</v>
      </c>
      <c r="Z37" s="194">
        <v>23.332999999999998</v>
      </c>
      <c r="AA37" s="194">
        <v>0</v>
      </c>
      <c r="AB37" s="194">
        <v>0</v>
      </c>
      <c r="AC37" s="194">
        <v>0</v>
      </c>
      <c r="AD37" s="194"/>
      <c r="AE37" s="194">
        <v>0</v>
      </c>
      <c r="AF37" s="194">
        <v>0</v>
      </c>
      <c r="AG37" s="194">
        <v>0</v>
      </c>
      <c r="AH37" s="195">
        <v>434.44400000000002</v>
      </c>
    </row>
    <row r="38" spans="1:34" ht="15" thickBot="1">
      <c r="A38" s="236"/>
      <c r="B38" s="14" t="s">
        <v>201</v>
      </c>
      <c r="C38" s="194">
        <v>900.76099999999997</v>
      </c>
      <c r="D38" s="194">
        <v>83.667000000000002</v>
      </c>
      <c r="E38" s="194">
        <v>0</v>
      </c>
      <c r="F38" s="194">
        <v>0</v>
      </c>
      <c r="G38" s="194">
        <v>0</v>
      </c>
      <c r="H38" s="194">
        <v>4.4359999999999999</v>
      </c>
      <c r="I38" s="194">
        <v>135.33600000000001</v>
      </c>
      <c r="J38" s="194">
        <v>0</v>
      </c>
      <c r="K38" s="194">
        <v>35.555999999999997</v>
      </c>
      <c r="L38" s="194">
        <v>6.1890000000000001</v>
      </c>
      <c r="M38" s="194">
        <v>0</v>
      </c>
      <c r="N38" s="194">
        <v>0</v>
      </c>
      <c r="O38" s="194">
        <v>0</v>
      </c>
      <c r="P38" s="194">
        <v>0</v>
      </c>
      <c r="Q38" s="194">
        <v>1943.9179999999999</v>
      </c>
      <c r="R38" s="194">
        <v>0</v>
      </c>
      <c r="S38" s="194">
        <v>0</v>
      </c>
      <c r="T38" s="194">
        <v>0</v>
      </c>
      <c r="U38" s="194">
        <v>0</v>
      </c>
      <c r="V38" s="194">
        <v>810.78499999999997</v>
      </c>
      <c r="W38" s="194">
        <v>1453.046</v>
      </c>
      <c r="X38" s="194">
        <v>72.676000000000002</v>
      </c>
      <c r="Y38" s="194">
        <v>1.9930000000000001</v>
      </c>
      <c r="Z38" s="194">
        <v>233.88900000000001</v>
      </c>
      <c r="AA38" s="194">
        <v>0</v>
      </c>
      <c r="AB38" s="194">
        <v>0</v>
      </c>
      <c r="AC38" s="194">
        <v>0</v>
      </c>
      <c r="AD38" s="194"/>
      <c r="AE38" s="194">
        <v>0</v>
      </c>
      <c r="AF38" s="194">
        <v>0</v>
      </c>
      <c r="AG38" s="194">
        <v>0</v>
      </c>
      <c r="AH38" s="195">
        <v>3560.2780000000002</v>
      </c>
    </row>
    <row r="39" spans="1:34" ht="15" thickBot="1">
      <c r="A39" s="236"/>
      <c r="B39" s="14" t="s">
        <v>202</v>
      </c>
      <c r="C39" s="194">
        <v>239.387</v>
      </c>
      <c r="D39" s="194">
        <v>0</v>
      </c>
      <c r="E39" s="194">
        <v>2.44</v>
      </c>
      <c r="F39" s="194">
        <v>0</v>
      </c>
      <c r="G39" s="194">
        <v>0</v>
      </c>
      <c r="H39" s="194">
        <v>144.15199999999999</v>
      </c>
      <c r="I39" s="194">
        <v>7.9859999999999998</v>
      </c>
      <c r="J39" s="194">
        <v>18.611000000000001</v>
      </c>
      <c r="K39" s="194">
        <v>278.61099999999999</v>
      </c>
      <c r="L39" s="194">
        <v>846.66600000000005</v>
      </c>
      <c r="M39" s="194">
        <v>0</v>
      </c>
      <c r="N39" s="194">
        <v>0</v>
      </c>
      <c r="O39" s="194">
        <v>12.5</v>
      </c>
      <c r="P39" s="194">
        <v>0</v>
      </c>
      <c r="Q39" s="194">
        <v>17589.723000000002</v>
      </c>
      <c r="R39" s="194">
        <v>27.134</v>
      </c>
      <c r="S39" s="194">
        <v>0</v>
      </c>
      <c r="T39" s="194">
        <v>112.919</v>
      </c>
      <c r="U39" s="194">
        <v>0</v>
      </c>
      <c r="V39" s="194">
        <v>2960.3330000000001</v>
      </c>
      <c r="W39" s="194">
        <v>796.38499999999999</v>
      </c>
      <c r="X39" s="194">
        <v>5556.9040000000005</v>
      </c>
      <c r="Y39" s="194">
        <v>68.375</v>
      </c>
      <c r="Z39" s="194">
        <v>209.167</v>
      </c>
      <c r="AA39" s="194">
        <v>17.643999999999998</v>
      </c>
      <c r="AB39" s="194">
        <v>0</v>
      </c>
      <c r="AC39" s="194">
        <v>0</v>
      </c>
      <c r="AD39" s="194"/>
      <c r="AE39" s="194">
        <v>0</v>
      </c>
      <c r="AF39" s="194">
        <v>0</v>
      </c>
      <c r="AG39" s="194">
        <v>0</v>
      </c>
      <c r="AH39" s="195">
        <v>14589.722</v>
      </c>
    </row>
    <row r="40" spans="1:34" ht="15" thickBot="1">
      <c r="A40" s="236"/>
      <c r="B40" s="14" t="s">
        <v>121</v>
      </c>
      <c r="C40" s="194">
        <v>857.22199999999998</v>
      </c>
      <c r="D40" s="194">
        <v>0</v>
      </c>
      <c r="E40" s="194">
        <v>0</v>
      </c>
      <c r="F40" s="194">
        <v>0</v>
      </c>
      <c r="G40" s="194">
        <v>0</v>
      </c>
      <c r="H40" s="194">
        <v>453.07799999999997</v>
      </c>
      <c r="I40" s="194">
        <v>5484.0280000000002</v>
      </c>
      <c r="J40" s="194">
        <v>0</v>
      </c>
      <c r="K40" s="194">
        <v>820.55600000000004</v>
      </c>
      <c r="L40" s="194">
        <v>4299.4380000000001</v>
      </c>
      <c r="M40" s="194">
        <v>0</v>
      </c>
      <c r="N40" s="194">
        <v>0</v>
      </c>
      <c r="O40" s="194">
        <v>3.8879999999999999</v>
      </c>
      <c r="P40" s="194">
        <v>0</v>
      </c>
      <c r="Q40" s="194">
        <v>178.62700000000001</v>
      </c>
      <c r="R40" s="194">
        <v>0</v>
      </c>
      <c r="S40" s="194">
        <v>0</v>
      </c>
      <c r="T40" s="194">
        <v>0</v>
      </c>
      <c r="U40" s="194">
        <v>0</v>
      </c>
      <c r="V40" s="194">
        <v>3582.5059999999999</v>
      </c>
      <c r="W40" s="194">
        <v>1308.5410000000002</v>
      </c>
      <c r="X40" s="194">
        <v>0</v>
      </c>
      <c r="Y40" s="194">
        <v>0</v>
      </c>
      <c r="Z40" s="194">
        <v>0</v>
      </c>
      <c r="AA40" s="194">
        <v>0</v>
      </c>
      <c r="AB40" s="194">
        <v>0</v>
      </c>
      <c r="AC40" s="194">
        <v>0</v>
      </c>
      <c r="AD40" s="194"/>
      <c r="AE40" s="194">
        <v>0</v>
      </c>
      <c r="AF40" s="194">
        <v>0</v>
      </c>
      <c r="AG40" s="194">
        <v>0</v>
      </c>
      <c r="AH40" s="195">
        <v>0</v>
      </c>
    </row>
    <row r="41" spans="1:34" ht="15" thickBot="1">
      <c r="A41" s="236"/>
      <c r="B41" s="14" t="s">
        <v>203</v>
      </c>
      <c r="C41" s="194">
        <v>856.88199999999995</v>
      </c>
      <c r="D41" s="194">
        <v>0</v>
      </c>
      <c r="E41" s="194">
        <v>19.154</v>
      </c>
      <c r="F41" s="194">
        <v>0</v>
      </c>
      <c r="G41" s="194">
        <v>0</v>
      </c>
      <c r="H41" s="194">
        <v>349.00400000000002</v>
      </c>
      <c r="I41" s="194">
        <v>355.90299999999996</v>
      </c>
      <c r="J41" s="194">
        <v>6.1109999999999998</v>
      </c>
      <c r="K41" s="194">
        <v>984.72199999999998</v>
      </c>
      <c r="L41" s="194">
        <v>385.08499999999998</v>
      </c>
      <c r="M41" s="194">
        <v>0</v>
      </c>
      <c r="N41" s="194">
        <v>0</v>
      </c>
      <c r="O41" s="194">
        <v>11.111000000000001</v>
      </c>
      <c r="P41" s="194">
        <v>0</v>
      </c>
      <c r="Q41" s="194">
        <v>411.024</v>
      </c>
      <c r="R41" s="194">
        <v>90.87</v>
      </c>
      <c r="S41" s="194">
        <v>13.055999999999999</v>
      </c>
      <c r="T41" s="194">
        <v>27.43</v>
      </c>
      <c r="U41" s="194">
        <v>0</v>
      </c>
      <c r="V41" s="194">
        <v>727.27400000000011</v>
      </c>
      <c r="W41" s="194">
        <v>340.23700000000002</v>
      </c>
      <c r="X41" s="194">
        <v>0</v>
      </c>
      <c r="Y41" s="194">
        <v>120.98099999999999</v>
      </c>
      <c r="Z41" s="194">
        <v>315.83299999999997</v>
      </c>
      <c r="AA41" s="194">
        <v>6.742</v>
      </c>
      <c r="AB41" s="194">
        <v>0</v>
      </c>
      <c r="AC41" s="194">
        <v>4776.9440000000004</v>
      </c>
      <c r="AD41" s="194"/>
      <c r="AE41" s="194">
        <v>0</v>
      </c>
      <c r="AF41" s="194">
        <v>0</v>
      </c>
      <c r="AG41" s="194">
        <v>0</v>
      </c>
      <c r="AH41" s="195">
        <v>1907.5</v>
      </c>
    </row>
    <row r="42" spans="1:34" ht="15" thickBot="1">
      <c r="A42" s="236"/>
      <c r="B42" s="14" t="s">
        <v>117</v>
      </c>
      <c r="C42" s="194">
        <v>0</v>
      </c>
      <c r="D42" s="194">
        <v>0</v>
      </c>
      <c r="E42" s="194">
        <v>0</v>
      </c>
      <c r="F42" s="194">
        <v>0</v>
      </c>
      <c r="G42" s="194">
        <v>0</v>
      </c>
      <c r="H42" s="194">
        <v>0</v>
      </c>
      <c r="I42" s="194">
        <v>0</v>
      </c>
      <c r="J42" s="194">
        <v>0</v>
      </c>
      <c r="K42" s="194">
        <v>0</v>
      </c>
      <c r="L42" s="194">
        <v>0</v>
      </c>
      <c r="M42" s="194">
        <v>0</v>
      </c>
      <c r="N42" s="194">
        <v>0</v>
      </c>
      <c r="O42" s="194">
        <v>0</v>
      </c>
      <c r="P42" s="194">
        <v>0</v>
      </c>
      <c r="Q42" s="194">
        <v>0</v>
      </c>
      <c r="R42" s="194">
        <v>0</v>
      </c>
      <c r="S42" s="194">
        <v>0</v>
      </c>
      <c r="T42" s="194">
        <v>0</v>
      </c>
      <c r="U42" s="194">
        <v>0</v>
      </c>
      <c r="V42" s="194">
        <v>0</v>
      </c>
      <c r="W42" s="194">
        <v>0</v>
      </c>
      <c r="X42" s="194">
        <v>0</v>
      </c>
      <c r="Y42" s="194">
        <v>0</v>
      </c>
      <c r="Z42" s="194">
        <v>0</v>
      </c>
      <c r="AA42" s="194">
        <v>0</v>
      </c>
      <c r="AB42" s="194">
        <v>0</v>
      </c>
      <c r="AC42" s="194">
        <v>0</v>
      </c>
      <c r="AD42" s="194"/>
      <c r="AE42" s="194">
        <v>0</v>
      </c>
      <c r="AF42" s="194">
        <v>0</v>
      </c>
      <c r="AG42" s="194">
        <v>0</v>
      </c>
      <c r="AH42" s="195">
        <v>0</v>
      </c>
    </row>
    <row r="43" spans="1:34" ht="15" thickBot="1">
      <c r="A43" s="236"/>
      <c r="B43" s="14" t="s">
        <v>204</v>
      </c>
      <c r="C43" s="194">
        <v>0</v>
      </c>
      <c r="D43" s="194">
        <v>0</v>
      </c>
      <c r="E43" s="194">
        <v>0</v>
      </c>
      <c r="F43" s="194">
        <v>0</v>
      </c>
      <c r="G43" s="194">
        <v>0</v>
      </c>
      <c r="H43" s="194">
        <v>0</v>
      </c>
      <c r="I43" s="194">
        <v>0</v>
      </c>
      <c r="J43" s="194">
        <v>0</v>
      </c>
      <c r="K43" s="194">
        <v>0</v>
      </c>
      <c r="L43" s="194">
        <v>0</v>
      </c>
      <c r="M43" s="194">
        <v>0</v>
      </c>
      <c r="N43" s="194">
        <v>0</v>
      </c>
      <c r="O43" s="194">
        <v>0</v>
      </c>
      <c r="P43" s="194">
        <v>0</v>
      </c>
      <c r="Q43" s="194">
        <v>0</v>
      </c>
      <c r="R43" s="194">
        <v>0</v>
      </c>
      <c r="S43" s="194">
        <v>0</v>
      </c>
      <c r="T43" s="194">
        <v>0</v>
      </c>
      <c r="U43" s="194">
        <v>0</v>
      </c>
      <c r="V43" s="194">
        <v>0</v>
      </c>
      <c r="W43" s="194">
        <v>0</v>
      </c>
      <c r="X43" s="194">
        <v>0</v>
      </c>
      <c r="Y43" s="194">
        <v>0</v>
      </c>
      <c r="Z43" s="194">
        <v>0</v>
      </c>
      <c r="AA43" s="194">
        <v>0</v>
      </c>
      <c r="AB43" s="194">
        <v>0</v>
      </c>
      <c r="AC43" s="194">
        <v>0</v>
      </c>
      <c r="AD43" s="194"/>
      <c r="AE43" s="194">
        <v>0</v>
      </c>
      <c r="AF43" s="194">
        <v>0</v>
      </c>
      <c r="AG43" s="194">
        <v>0</v>
      </c>
      <c r="AH43" s="195">
        <v>0</v>
      </c>
    </row>
    <row r="44" spans="1:34" ht="15" thickBot="1">
      <c r="A44" s="236"/>
      <c r="B44" s="14" t="s">
        <v>205</v>
      </c>
      <c r="C44" s="194">
        <v>0</v>
      </c>
      <c r="D44" s="194">
        <v>0</v>
      </c>
      <c r="E44" s="194">
        <v>0</v>
      </c>
      <c r="F44" s="194">
        <v>0</v>
      </c>
      <c r="G44" s="194">
        <v>0</v>
      </c>
      <c r="H44" s="194">
        <v>0</v>
      </c>
      <c r="I44" s="194">
        <v>0</v>
      </c>
      <c r="J44" s="194">
        <v>0</v>
      </c>
      <c r="K44" s="194">
        <v>0</v>
      </c>
      <c r="L44" s="194">
        <v>0</v>
      </c>
      <c r="M44" s="194">
        <v>0</v>
      </c>
      <c r="N44" s="194">
        <v>0</v>
      </c>
      <c r="O44" s="194">
        <v>0</v>
      </c>
      <c r="P44" s="194">
        <v>0</v>
      </c>
      <c r="Q44" s="194">
        <v>0</v>
      </c>
      <c r="R44" s="194">
        <v>0</v>
      </c>
      <c r="S44" s="194">
        <v>0</v>
      </c>
      <c r="T44" s="194">
        <v>0</v>
      </c>
      <c r="U44" s="194">
        <v>0</v>
      </c>
      <c r="V44" s="194">
        <v>0</v>
      </c>
      <c r="W44" s="194">
        <v>0</v>
      </c>
      <c r="X44" s="194">
        <v>0</v>
      </c>
      <c r="Y44" s="194">
        <v>0</v>
      </c>
      <c r="Z44" s="194">
        <v>0</v>
      </c>
      <c r="AA44" s="194">
        <v>0</v>
      </c>
      <c r="AB44" s="194">
        <v>0</v>
      </c>
      <c r="AC44" s="194">
        <v>0</v>
      </c>
      <c r="AD44" s="194"/>
      <c r="AE44" s="194">
        <v>0</v>
      </c>
      <c r="AF44" s="194">
        <v>0</v>
      </c>
      <c r="AG44" s="194">
        <v>0</v>
      </c>
      <c r="AH44" s="195">
        <v>0</v>
      </c>
    </row>
    <row r="45" spans="1:34" ht="15" thickBot="1">
      <c r="A45" s="237"/>
      <c r="B45" s="14" t="s">
        <v>206</v>
      </c>
      <c r="C45" s="194">
        <v>263.80500000000001</v>
      </c>
      <c r="D45" s="194">
        <v>0</v>
      </c>
      <c r="E45" s="194">
        <v>0</v>
      </c>
      <c r="F45" s="194">
        <v>0</v>
      </c>
      <c r="G45" s="194">
        <v>0</v>
      </c>
      <c r="H45" s="194">
        <v>292.86500000000001</v>
      </c>
      <c r="I45" s="194">
        <v>3351.35</v>
      </c>
      <c r="J45" s="194">
        <v>0</v>
      </c>
      <c r="K45" s="194">
        <v>322.5</v>
      </c>
      <c r="L45" s="194">
        <v>2075.241</v>
      </c>
      <c r="M45" s="194">
        <v>0</v>
      </c>
      <c r="N45" s="194">
        <v>0</v>
      </c>
      <c r="O45" s="194">
        <v>0</v>
      </c>
      <c r="P45" s="194">
        <v>0</v>
      </c>
      <c r="Q45" s="194">
        <v>37.329000000000001</v>
      </c>
      <c r="R45" s="194">
        <v>0</v>
      </c>
      <c r="S45" s="194">
        <v>0</v>
      </c>
      <c r="T45" s="194">
        <v>0</v>
      </c>
      <c r="U45" s="194">
        <v>0</v>
      </c>
      <c r="V45" s="194">
        <v>1940.5219999999999</v>
      </c>
      <c r="W45" s="194">
        <v>131.33000000000001</v>
      </c>
      <c r="X45" s="194">
        <v>0</v>
      </c>
      <c r="Y45" s="194">
        <v>0</v>
      </c>
      <c r="Z45" s="194">
        <v>0</v>
      </c>
      <c r="AA45" s="194">
        <v>0</v>
      </c>
      <c r="AB45" s="194">
        <v>0</v>
      </c>
      <c r="AC45" s="194">
        <v>0</v>
      </c>
      <c r="AD45" s="194"/>
      <c r="AE45" s="194">
        <v>0</v>
      </c>
      <c r="AF45" s="194">
        <v>0</v>
      </c>
      <c r="AG45" s="194">
        <v>0</v>
      </c>
      <c r="AH45" s="195">
        <v>0</v>
      </c>
    </row>
    <row r="46" spans="1:34" ht="15" thickBot="1">
      <c r="A46" s="235" t="s">
        <v>207</v>
      </c>
      <c r="B46" s="14" t="s">
        <v>200</v>
      </c>
      <c r="C46" s="194">
        <v>0</v>
      </c>
      <c r="D46" s="194">
        <v>0</v>
      </c>
      <c r="E46" s="194">
        <v>0</v>
      </c>
      <c r="F46" s="194">
        <v>0</v>
      </c>
      <c r="G46" s="194">
        <v>0</v>
      </c>
      <c r="H46" s="194">
        <v>97.930999999999997</v>
      </c>
      <c r="I46" s="194">
        <v>0</v>
      </c>
      <c r="J46" s="194">
        <v>0</v>
      </c>
      <c r="K46" s="194">
        <v>5.2779999999999996</v>
      </c>
      <c r="L46" s="194">
        <v>23.056000000000001</v>
      </c>
      <c r="M46" s="194">
        <v>0</v>
      </c>
      <c r="N46" s="194">
        <v>0</v>
      </c>
      <c r="O46" s="194">
        <v>0</v>
      </c>
      <c r="P46" s="194">
        <v>0</v>
      </c>
      <c r="Q46" s="194">
        <v>0</v>
      </c>
      <c r="R46" s="194">
        <v>6.7439999999999998</v>
      </c>
      <c r="S46" s="194">
        <v>0</v>
      </c>
      <c r="T46" s="194">
        <v>0</v>
      </c>
      <c r="U46" s="194">
        <v>0</v>
      </c>
      <c r="V46" s="194">
        <v>0</v>
      </c>
      <c r="W46" s="194">
        <v>1084.3019999999999</v>
      </c>
      <c r="X46" s="194">
        <v>0</v>
      </c>
      <c r="Y46" s="194">
        <v>0</v>
      </c>
      <c r="Z46" s="194">
        <v>2.778</v>
      </c>
      <c r="AA46" s="194">
        <v>0</v>
      </c>
      <c r="AB46" s="194">
        <v>0</v>
      </c>
      <c r="AC46" s="194">
        <v>0</v>
      </c>
      <c r="AD46" s="194"/>
      <c r="AE46" s="194">
        <v>26.367000000000001</v>
      </c>
      <c r="AF46" s="194">
        <v>0</v>
      </c>
      <c r="AG46" s="194">
        <v>0</v>
      </c>
      <c r="AH46" s="195">
        <v>25</v>
      </c>
    </row>
    <row r="47" spans="1:34" ht="15" thickBot="1">
      <c r="A47" s="236"/>
      <c r="B47" s="14" t="s">
        <v>201</v>
      </c>
      <c r="C47" s="194">
        <v>0</v>
      </c>
      <c r="D47" s="194">
        <v>0</v>
      </c>
      <c r="E47" s="194">
        <v>0</v>
      </c>
      <c r="F47" s="194">
        <v>0</v>
      </c>
      <c r="G47" s="194">
        <v>0</v>
      </c>
      <c r="H47" s="194">
        <v>60.436999999999998</v>
      </c>
      <c r="I47" s="194">
        <v>2.0249999999999999</v>
      </c>
      <c r="J47" s="194">
        <v>0</v>
      </c>
      <c r="K47" s="194">
        <v>59.445</v>
      </c>
      <c r="L47" s="194">
        <v>19.167000000000002</v>
      </c>
      <c r="M47" s="194">
        <v>0</v>
      </c>
      <c r="N47" s="194">
        <v>0</v>
      </c>
      <c r="O47" s="194">
        <v>0</v>
      </c>
      <c r="P47" s="194">
        <v>0</v>
      </c>
      <c r="Q47" s="194">
        <v>0</v>
      </c>
      <c r="R47" s="194">
        <v>3.8410000000000002</v>
      </c>
      <c r="S47" s="194">
        <v>8.3330000000000002</v>
      </c>
      <c r="T47" s="194">
        <v>0</v>
      </c>
      <c r="U47" s="194">
        <v>0</v>
      </c>
      <c r="V47" s="194">
        <v>312.50400000000002</v>
      </c>
      <c r="W47" s="194">
        <v>15.17</v>
      </c>
      <c r="X47" s="194">
        <v>0</v>
      </c>
      <c r="Y47" s="194">
        <v>62.776000000000003</v>
      </c>
      <c r="Z47" s="194">
        <v>0.55600000000000005</v>
      </c>
      <c r="AA47" s="194">
        <v>0</v>
      </c>
      <c r="AB47" s="194">
        <v>0</v>
      </c>
      <c r="AC47" s="194">
        <v>0</v>
      </c>
      <c r="AD47" s="194"/>
      <c r="AE47" s="194">
        <v>578.476</v>
      </c>
      <c r="AF47" s="194">
        <v>0</v>
      </c>
      <c r="AG47" s="194">
        <v>0</v>
      </c>
      <c r="AH47" s="195">
        <v>150</v>
      </c>
    </row>
    <row r="48" spans="1:34" ht="15" thickBot="1">
      <c r="A48" s="236"/>
      <c r="B48" s="14" t="s">
        <v>202</v>
      </c>
      <c r="C48" s="194">
        <v>111.501</v>
      </c>
      <c r="D48" s="194">
        <v>0</v>
      </c>
      <c r="E48" s="194">
        <v>41.514000000000003</v>
      </c>
      <c r="F48" s="194">
        <v>0</v>
      </c>
      <c r="G48" s="194">
        <v>0</v>
      </c>
      <c r="H48" s="194">
        <v>2123.1790000000001</v>
      </c>
      <c r="I48" s="194">
        <v>50.607999999999997</v>
      </c>
      <c r="J48" s="194">
        <v>140.833</v>
      </c>
      <c r="K48" s="194">
        <v>22.222000000000001</v>
      </c>
      <c r="L48" s="194">
        <v>352.22199999999998</v>
      </c>
      <c r="M48" s="194">
        <v>0</v>
      </c>
      <c r="N48" s="194">
        <v>0</v>
      </c>
      <c r="O48" s="194">
        <v>96.388999999999996</v>
      </c>
      <c r="P48" s="194">
        <v>0</v>
      </c>
      <c r="Q48" s="194">
        <v>0</v>
      </c>
      <c r="R48" s="194">
        <v>161.703</v>
      </c>
      <c r="S48" s="194">
        <v>70.555999999999997</v>
      </c>
      <c r="T48" s="194">
        <v>0</v>
      </c>
      <c r="U48" s="194">
        <v>0</v>
      </c>
      <c r="V48" s="194">
        <v>59.948</v>
      </c>
      <c r="W48" s="194">
        <v>190.92699999999999</v>
      </c>
      <c r="X48" s="194">
        <v>0</v>
      </c>
      <c r="Y48" s="194">
        <v>686.90700000000004</v>
      </c>
      <c r="Z48" s="194">
        <v>368.33300000000003</v>
      </c>
      <c r="AA48" s="194">
        <v>0</v>
      </c>
      <c r="AB48" s="194">
        <v>0</v>
      </c>
      <c r="AC48" s="194">
        <v>0</v>
      </c>
      <c r="AD48" s="194"/>
      <c r="AE48" s="194">
        <v>16723.107</v>
      </c>
      <c r="AF48" s="194">
        <v>0</v>
      </c>
      <c r="AG48" s="194">
        <v>0</v>
      </c>
      <c r="AH48" s="195">
        <v>0</v>
      </c>
    </row>
    <row r="49" spans="1:34" ht="15" thickBot="1">
      <c r="A49" s="236"/>
      <c r="B49" s="14" t="s">
        <v>121</v>
      </c>
      <c r="C49" s="194">
        <v>61.847999999999999</v>
      </c>
      <c r="D49" s="194">
        <v>0</v>
      </c>
      <c r="E49" s="194">
        <v>0</v>
      </c>
      <c r="F49" s="194">
        <v>0</v>
      </c>
      <c r="G49" s="194">
        <v>0</v>
      </c>
      <c r="H49" s="194">
        <v>119.544</v>
      </c>
      <c r="I49" s="194">
        <v>512.39200000000005</v>
      </c>
      <c r="J49" s="194">
        <v>0</v>
      </c>
      <c r="K49" s="194">
        <v>30.556000000000001</v>
      </c>
      <c r="L49" s="194">
        <v>586.154</v>
      </c>
      <c r="M49" s="194">
        <v>0</v>
      </c>
      <c r="N49" s="194">
        <v>0</v>
      </c>
      <c r="O49" s="194">
        <v>195</v>
      </c>
      <c r="P49" s="194">
        <v>0</v>
      </c>
      <c r="Q49" s="194">
        <v>0</v>
      </c>
      <c r="R49" s="194">
        <v>0</v>
      </c>
      <c r="S49" s="194">
        <v>0</v>
      </c>
      <c r="T49" s="194">
        <v>0</v>
      </c>
      <c r="U49" s="194">
        <v>0</v>
      </c>
      <c r="V49" s="194">
        <v>0</v>
      </c>
      <c r="W49" s="194">
        <v>116.09700000000001</v>
      </c>
      <c r="X49" s="194">
        <v>0</v>
      </c>
      <c r="Y49" s="194">
        <v>5.0979999999999999</v>
      </c>
      <c r="Z49" s="194">
        <v>27.222000000000001</v>
      </c>
      <c r="AA49" s="194">
        <v>0</v>
      </c>
      <c r="AB49" s="194">
        <v>0</v>
      </c>
      <c r="AC49" s="194">
        <v>0</v>
      </c>
      <c r="AD49" s="194"/>
      <c r="AE49" s="194">
        <v>231.102</v>
      </c>
      <c r="AF49" s="194">
        <v>0</v>
      </c>
      <c r="AG49" s="194">
        <v>0</v>
      </c>
      <c r="AH49" s="195">
        <v>0</v>
      </c>
    </row>
    <row r="50" spans="1:34" ht="15" thickBot="1">
      <c r="A50" s="236"/>
      <c r="B50" s="14" t="s">
        <v>203</v>
      </c>
      <c r="C50" s="194">
        <v>22.786000000000001</v>
      </c>
      <c r="D50" s="194">
        <v>0</v>
      </c>
      <c r="E50" s="194">
        <v>50.622</v>
      </c>
      <c r="F50" s="194">
        <v>0</v>
      </c>
      <c r="G50" s="194">
        <v>0</v>
      </c>
      <c r="H50" s="194">
        <v>149.15299999999999</v>
      </c>
      <c r="I50" s="194">
        <v>93.433999999999997</v>
      </c>
      <c r="J50" s="194">
        <v>83.332999999999998</v>
      </c>
      <c r="K50" s="194">
        <v>333.61099999999999</v>
      </c>
      <c r="L50" s="194">
        <v>1526.5170000000001</v>
      </c>
      <c r="M50" s="194">
        <v>0</v>
      </c>
      <c r="N50" s="194">
        <v>0</v>
      </c>
      <c r="O50" s="194">
        <v>24.722000000000001</v>
      </c>
      <c r="P50" s="194">
        <v>0</v>
      </c>
      <c r="Q50" s="194">
        <v>0</v>
      </c>
      <c r="R50" s="194">
        <v>209.501</v>
      </c>
      <c r="S50" s="194">
        <v>253.88900000000001</v>
      </c>
      <c r="T50" s="194">
        <v>0</v>
      </c>
      <c r="U50" s="194">
        <v>0</v>
      </c>
      <c r="V50" s="194">
        <v>2.694</v>
      </c>
      <c r="W50" s="194">
        <v>53.57</v>
      </c>
      <c r="X50" s="194">
        <v>0</v>
      </c>
      <c r="Y50" s="194">
        <v>110.40900000000001</v>
      </c>
      <c r="Z50" s="194">
        <v>113.056</v>
      </c>
      <c r="AA50" s="194">
        <v>0</v>
      </c>
      <c r="AB50" s="194">
        <v>0</v>
      </c>
      <c r="AC50" s="194">
        <v>0</v>
      </c>
      <c r="AD50" s="194"/>
      <c r="AE50" s="194">
        <v>1102.7049999999999</v>
      </c>
      <c r="AF50" s="194">
        <v>0</v>
      </c>
      <c r="AG50" s="194">
        <v>0</v>
      </c>
      <c r="AH50" s="195">
        <v>5497.5</v>
      </c>
    </row>
    <row r="51" spans="1:34" ht="15" thickBot="1">
      <c r="A51" s="236"/>
      <c r="B51" s="14" t="s">
        <v>117</v>
      </c>
      <c r="C51" s="194">
        <v>17.617999999999999</v>
      </c>
      <c r="D51" s="194">
        <v>0</v>
      </c>
      <c r="E51" s="194">
        <v>0</v>
      </c>
      <c r="F51" s="194">
        <v>0</v>
      </c>
      <c r="G51" s="194">
        <v>0</v>
      </c>
      <c r="H51" s="194">
        <v>0</v>
      </c>
      <c r="I51" s="194">
        <v>0</v>
      </c>
      <c r="J51" s="194">
        <v>0</v>
      </c>
      <c r="K51" s="194">
        <v>0</v>
      </c>
      <c r="L51" s="194">
        <v>146.06399999999999</v>
      </c>
      <c r="M51" s="194">
        <v>0</v>
      </c>
      <c r="N51" s="194">
        <v>0</v>
      </c>
      <c r="O51" s="194">
        <v>175.27799999999999</v>
      </c>
      <c r="P51" s="194">
        <v>0</v>
      </c>
      <c r="Q51" s="194">
        <v>0</v>
      </c>
      <c r="R51" s="194">
        <v>0</v>
      </c>
      <c r="S51" s="194">
        <v>0</v>
      </c>
      <c r="T51" s="194">
        <v>0</v>
      </c>
      <c r="U51" s="194">
        <v>0</v>
      </c>
      <c r="V51" s="194">
        <v>0</v>
      </c>
      <c r="W51" s="194">
        <v>0</v>
      </c>
      <c r="X51" s="194">
        <v>0</v>
      </c>
      <c r="Y51" s="194">
        <v>0</v>
      </c>
      <c r="Z51" s="194">
        <v>11.944000000000001</v>
      </c>
      <c r="AA51" s="194">
        <v>0</v>
      </c>
      <c r="AB51" s="194">
        <v>0</v>
      </c>
      <c r="AC51" s="194">
        <v>0</v>
      </c>
      <c r="AD51" s="194"/>
      <c r="AE51" s="194">
        <v>0</v>
      </c>
      <c r="AF51" s="194">
        <v>0</v>
      </c>
      <c r="AG51" s="194">
        <v>0</v>
      </c>
      <c r="AH51" s="195">
        <v>0</v>
      </c>
    </row>
    <row r="52" spans="1:34" ht="15" thickBot="1">
      <c r="A52" s="236"/>
      <c r="B52" s="14" t="s">
        <v>204</v>
      </c>
      <c r="C52" s="194">
        <v>0</v>
      </c>
      <c r="D52" s="194">
        <v>0</v>
      </c>
      <c r="E52" s="194">
        <v>0</v>
      </c>
      <c r="F52" s="194">
        <v>0</v>
      </c>
      <c r="G52" s="194">
        <v>0</v>
      </c>
      <c r="H52" s="194">
        <v>0</v>
      </c>
      <c r="I52" s="194">
        <v>0</v>
      </c>
      <c r="J52" s="194">
        <v>0</v>
      </c>
      <c r="K52" s="194">
        <v>0</v>
      </c>
      <c r="L52" s="194">
        <v>0</v>
      </c>
      <c r="M52" s="194">
        <v>0</v>
      </c>
      <c r="N52" s="194">
        <v>0</v>
      </c>
      <c r="O52" s="194">
        <v>0</v>
      </c>
      <c r="P52" s="194">
        <v>0</v>
      </c>
      <c r="Q52" s="194">
        <v>0</v>
      </c>
      <c r="R52" s="194">
        <v>0</v>
      </c>
      <c r="S52" s="194">
        <v>0</v>
      </c>
      <c r="T52" s="194">
        <v>0</v>
      </c>
      <c r="U52" s="194">
        <v>0</v>
      </c>
      <c r="V52" s="194">
        <v>0</v>
      </c>
      <c r="W52" s="194">
        <v>0</v>
      </c>
      <c r="X52" s="194">
        <v>0</v>
      </c>
      <c r="Y52" s="194">
        <v>0</v>
      </c>
      <c r="Z52" s="194">
        <v>0.27800000000000002</v>
      </c>
      <c r="AA52" s="194">
        <v>0</v>
      </c>
      <c r="AB52" s="194">
        <v>0</v>
      </c>
      <c r="AC52" s="194">
        <v>0</v>
      </c>
      <c r="AD52" s="194"/>
      <c r="AE52" s="194">
        <v>0</v>
      </c>
      <c r="AF52" s="194">
        <v>0</v>
      </c>
      <c r="AG52" s="194">
        <v>0</v>
      </c>
      <c r="AH52" s="195">
        <v>5.556</v>
      </c>
    </row>
    <row r="53" spans="1:34" ht="15" thickBot="1">
      <c r="A53" s="236"/>
      <c r="B53" s="14" t="s">
        <v>205</v>
      </c>
      <c r="C53" s="194">
        <v>0</v>
      </c>
      <c r="D53" s="194">
        <v>0</v>
      </c>
      <c r="E53" s="194">
        <v>0</v>
      </c>
      <c r="F53" s="194">
        <v>0</v>
      </c>
      <c r="G53" s="194">
        <v>0</v>
      </c>
      <c r="H53" s="194">
        <v>3.056</v>
      </c>
      <c r="I53" s="194">
        <v>0</v>
      </c>
      <c r="J53" s="194">
        <v>0</v>
      </c>
      <c r="K53" s="194">
        <v>0</v>
      </c>
      <c r="L53" s="194">
        <v>4.0039999999999996</v>
      </c>
      <c r="M53" s="194">
        <v>0</v>
      </c>
      <c r="N53" s="194">
        <v>0</v>
      </c>
      <c r="O53" s="194">
        <v>0</v>
      </c>
      <c r="P53" s="194">
        <v>0</v>
      </c>
      <c r="Q53" s="194">
        <v>0</v>
      </c>
      <c r="R53" s="194">
        <v>0</v>
      </c>
      <c r="S53" s="194">
        <v>0</v>
      </c>
      <c r="T53" s="194">
        <v>0</v>
      </c>
      <c r="U53" s="194">
        <v>0</v>
      </c>
      <c r="V53" s="194">
        <v>0</v>
      </c>
      <c r="W53" s="194">
        <v>1.4730000000000001</v>
      </c>
      <c r="X53" s="194">
        <v>0</v>
      </c>
      <c r="Y53" s="194">
        <v>0</v>
      </c>
      <c r="Z53" s="194">
        <v>3.3330000000000002</v>
      </c>
      <c r="AA53" s="194">
        <v>0</v>
      </c>
      <c r="AB53" s="194">
        <v>0</v>
      </c>
      <c r="AC53" s="194">
        <v>0</v>
      </c>
      <c r="AD53" s="194"/>
      <c r="AE53" s="194">
        <v>0</v>
      </c>
      <c r="AF53" s="194">
        <v>0</v>
      </c>
      <c r="AG53" s="194">
        <v>0</v>
      </c>
      <c r="AH53" s="195">
        <v>0</v>
      </c>
    </row>
    <row r="54" spans="1:34" ht="15" thickBot="1">
      <c r="A54" s="237"/>
      <c r="B54" s="14" t="s">
        <v>206</v>
      </c>
      <c r="C54" s="194">
        <v>0</v>
      </c>
      <c r="D54" s="194">
        <v>0</v>
      </c>
      <c r="E54" s="194">
        <v>0</v>
      </c>
      <c r="F54" s="194">
        <v>0</v>
      </c>
      <c r="G54" s="194">
        <v>0</v>
      </c>
      <c r="H54" s="194">
        <v>0</v>
      </c>
      <c r="I54" s="194">
        <v>313.12799999999999</v>
      </c>
      <c r="J54" s="194">
        <v>0</v>
      </c>
      <c r="K54" s="194">
        <v>5.2779999999999996</v>
      </c>
      <c r="L54" s="194">
        <v>283.71300000000002</v>
      </c>
      <c r="M54" s="194">
        <v>0</v>
      </c>
      <c r="N54" s="194">
        <v>0</v>
      </c>
      <c r="O54" s="194">
        <v>0</v>
      </c>
      <c r="P54" s="194">
        <v>0</v>
      </c>
      <c r="Q54" s="194">
        <v>0</v>
      </c>
      <c r="R54" s="194">
        <v>0</v>
      </c>
      <c r="S54" s="194">
        <v>0</v>
      </c>
      <c r="T54" s="194">
        <v>0</v>
      </c>
      <c r="U54" s="194">
        <v>0</v>
      </c>
      <c r="V54" s="194">
        <v>0</v>
      </c>
      <c r="W54" s="194">
        <v>0</v>
      </c>
      <c r="X54" s="194">
        <v>0</v>
      </c>
      <c r="Y54" s="194">
        <v>0.113</v>
      </c>
      <c r="Z54" s="194">
        <v>15.833</v>
      </c>
      <c r="AA54" s="194">
        <v>0</v>
      </c>
      <c r="AB54" s="194">
        <v>0</v>
      </c>
      <c r="AC54" s="194">
        <v>0</v>
      </c>
      <c r="AD54" s="194"/>
      <c r="AE54" s="194">
        <v>115.551</v>
      </c>
      <c r="AF54" s="194">
        <v>0</v>
      </c>
      <c r="AG54" s="194">
        <v>0</v>
      </c>
      <c r="AH54" s="195">
        <v>0</v>
      </c>
    </row>
    <row r="55" spans="1:34" ht="15" thickBot="1">
      <c r="A55" s="233" t="s">
        <v>212</v>
      </c>
      <c r="B55" s="234"/>
      <c r="C55" s="198">
        <v>3388.018</v>
      </c>
      <c r="D55" s="198">
        <v>83.667000000000002</v>
      </c>
      <c r="E55" s="198">
        <v>113.73</v>
      </c>
      <c r="F55" s="198">
        <v>0</v>
      </c>
      <c r="G55" s="198">
        <v>0</v>
      </c>
      <c r="H55" s="198">
        <v>4862.0359999999991</v>
      </c>
      <c r="I55" s="198">
        <v>10306.19</v>
      </c>
      <c r="J55" s="198">
        <v>248.88800000000001</v>
      </c>
      <c r="K55" s="198">
        <v>2926.1129999999998</v>
      </c>
      <c r="L55" s="198">
        <v>10677.697</v>
      </c>
      <c r="M55" s="198">
        <v>0</v>
      </c>
      <c r="N55" s="198">
        <v>0</v>
      </c>
      <c r="O55" s="198">
        <v>518.88799999999992</v>
      </c>
      <c r="P55" s="198">
        <v>0</v>
      </c>
      <c r="Q55" s="198">
        <v>20264.788000000004</v>
      </c>
      <c r="R55" s="198">
        <v>499.79300000000001</v>
      </c>
      <c r="S55" s="198">
        <v>345.834</v>
      </c>
      <c r="T55" s="198">
        <v>140.34899999999999</v>
      </c>
      <c r="U55" s="198">
        <v>0</v>
      </c>
      <c r="V55" s="198">
        <v>10396.566000000001</v>
      </c>
      <c r="W55" s="198">
        <v>7156.3249999999989</v>
      </c>
      <c r="X55" s="198">
        <v>5629.5800000000008</v>
      </c>
      <c r="Y55" s="198">
        <v>1056.652</v>
      </c>
      <c r="Z55" s="198">
        <v>1325.5550000000003</v>
      </c>
      <c r="AA55" s="198">
        <v>24.385999999999999</v>
      </c>
      <c r="AB55" s="198">
        <v>0</v>
      </c>
      <c r="AC55" s="198">
        <v>4776.9440000000004</v>
      </c>
      <c r="AD55" s="198"/>
      <c r="AE55" s="198">
        <v>18777.307999999997</v>
      </c>
      <c r="AF55" s="198">
        <v>0</v>
      </c>
      <c r="AG55" s="198">
        <v>0</v>
      </c>
      <c r="AH55" s="199">
        <v>26170</v>
      </c>
    </row>
    <row r="56" spans="1:34">
      <c r="A56" s="19" t="s">
        <v>213</v>
      </c>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row>
    <row r="60" spans="1:34">
      <c r="A60" s="204"/>
    </row>
    <row r="61" spans="1:34">
      <c r="A61" s="205"/>
    </row>
    <row r="62" spans="1:34">
      <c r="A62" s="205"/>
    </row>
    <row r="63" spans="1:34">
      <c r="A63" s="205"/>
    </row>
    <row r="64" spans="1:34">
      <c r="A64" s="205"/>
    </row>
    <row r="65" spans="1:1">
      <c r="A65" s="205"/>
    </row>
    <row r="66" spans="1:1">
      <c r="A66" s="204"/>
    </row>
    <row r="67" spans="1:1">
      <c r="A67" s="204"/>
    </row>
    <row r="68" spans="1:1">
      <c r="A68" s="204"/>
    </row>
  </sheetData>
  <mergeCells count="6">
    <mergeCell ref="A55:B55"/>
    <mergeCell ref="A24:A32"/>
    <mergeCell ref="A15:A23"/>
    <mergeCell ref="A46:A54"/>
    <mergeCell ref="A37:A45"/>
    <mergeCell ref="A33:B33"/>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94723-DC79-422E-9D32-E24128CA1E60}">
  <dimension ref="A1:E49"/>
  <sheetViews>
    <sheetView zoomScaleNormal="100" workbookViewId="0">
      <selection activeCell="D11" sqref="D11"/>
    </sheetView>
  </sheetViews>
  <sheetFormatPr defaultColWidth="11.44140625" defaultRowHeight="14.4"/>
  <cols>
    <col min="1" max="1" width="10.44140625" style="19" customWidth="1"/>
    <col min="2" max="2" width="20.33203125" style="19" bestFit="1" customWidth="1"/>
    <col min="3" max="3" width="38.44140625" style="19" bestFit="1" customWidth="1"/>
    <col min="4" max="4" width="79.33203125" style="19" customWidth="1"/>
    <col min="5" max="5" width="17.44140625" style="19" customWidth="1"/>
    <col min="6" max="16384" width="11.44140625" style="19"/>
  </cols>
  <sheetData>
    <row r="1" spans="1:5">
      <c r="A1" s="207" t="s">
        <v>214</v>
      </c>
      <c r="B1" s="207" t="s">
        <v>215</v>
      </c>
      <c r="C1" s="207" t="s">
        <v>216</v>
      </c>
      <c r="D1" s="207" t="s">
        <v>217</v>
      </c>
      <c r="E1" s="207" t="s">
        <v>218</v>
      </c>
    </row>
    <row r="2" spans="1:5">
      <c r="A2">
        <v>1</v>
      </c>
      <c r="B2" t="s">
        <v>145</v>
      </c>
      <c r="C2" t="s">
        <v>219</v>
      </c>
      <c r="D2" t="s">
        <v>220</v>
      </c>
      <c r="E2">
        <v>2019</v>
      </c>
    </row>
    <row r="3" spans="1:5" ht="17.25" customHeight="1">
      <c r="A3">
        <v>2</v>
      </c>
      <c r="B3" t="s">
        <v>28</v>
      </c>
      <c r="C3" t="s">
        <v>221</v>
      </c>
      <c r="D3" t="s">
        <v>222</v>
      </c>
      <c r="E3">
        <v>2020</v>
      </c>
    </row>
    <row r="4" spans="1:5">
      <c r="A4">
        <v>3</v>
      </c>
      <c r="B4" t="s">
        <v>147</v>
      </c>
      <c r="C4" t="s">
        <v>223</v>
      </c>
      <c r="D4" t="s">
        <v>224</v>
      </c>
      <c r="E4">
        <v>2020</v>
      </c>
    </row>
    <row r="5" spans="1:5">
      <c r="A5">
        <v>4</v>
      </c>
      <c r="B5" t="s">
        <v>148</v>
      </c>
      <c r="C5" t="s">
        <v>225</v>
      </c>
      <c r="D5" t="s">
        <v>226</v>
      </c>
      <c r="E5">
        <v>2019</v>
      </c>
    </row>
    <row r="6" spans="1:5">
      <c r="A6">
        <v>5</v>
      </c>
      <c r="B6" t="s">
        <v>148</v>
      </c>
      <c r="C6" t="s">
        <v>227</v>
      </c>
      <c r="D6" t="s">
        <v>228</v>
      </c>
      <c r="E6">
        <v>2019</v>
      </c>
    </row>
    <row r="7" spans="1:5">
      <c r="A7">
        <v>6</v>
      </c>
      <c r="B7" t="s">
        <v>229</v>
      </c>
      <c r="C7" t="s">
        <v>230</v>
      </c>
      <c r="D7" t="s">
        <v>231</v>
      </c>
      <c r="E7">
        <v>2019</v>
      </c>
    </row>
    <row r="8" spans="1:5">
      <c r="A8">
        <v>7</v>
      </c>
      <c r="B8" t="s">
        <v>229</v>
      </c>
      <c r="C8" t="s">
        <v>232</v>
      </c>
      <c r="D8" t="s">
        <v>233</v>
      </c>
      <c r="E8">
        <v>2020</v>
      </c>
    </row>
    <row r="9" spans="1:5">
      <c r="A9">
        <v>8</v>
      </c>
      <c r="B9" t="s">
        <v>150</v>
      </c>
      <c r="C9" t="s">
        <v>234</v>
      </c>
      <c r="D9" t="s">
        <v>235</v>
      </c>
      <c r="E9">
        <v>2020</v>
      </c>
    </row>
    <row r="10" spans="1:5">
      <c r="A10">
        <v>9</v>
      </c>
      <c r="B10" t="s">
        <v>189</v>
      </c>
      <c r="C10" t="s">
        <v>236</v>
      </c>
      <c r="D10" t="s">
        <v>237</v>
      </c>
      <c r="E10">
        <v>2020</v>
      </c>
    </row>
    <row r="11" spans="1:5">
      <c r="A11">
        <v>10</v>
      </c>
      <c r="B11" t="s">
        <v>238</v>
      </c>
      <c r="C11" t="s">
        <v>239</v>
      </c>
      <c r="D11" t="s">
        <v>240</v>
      </c>
      <c r="E11">
        <v>2020</v>
      </c>
    </row>
    <row r="12" spans="1:5">
      <c r="A12">
        <v>11</v>
      </c>
      <c r="B12" t="s">
        <v>238</v>
      </c>
      <c r="C12" t="s">
        <v>241</v>
      </c>
      <c r="D12" t="s">
        <v>242</v>
      </c>
      <c r="E12">
        <v>2020</v>
      </c>
    </row>
    <row r="13" spans="1:5">
      <c r="A13">
        <v>12</v>
      </c>
      <c r="B13" t="s">
        <v>238</v>
      </c>
      <c r="C13" t="s">
        <v>241</v>
      </c>
      <c r="D13" t="s">
        <v>243</v>
      </c>
      <c r="E13">
        <v>2020</v>
      </c>
    </row>
    <row r="14" spans="1:5">
      <c r="A14">
        <v>13</v>
      </c>
      <c r="B14" t="s">
        <v>238</v>
      </c>
      <c r="C14" t="s">
        <v>244</v>
      </c>
      <c r="D14" t="s">
        <v>245</v>
      </c>
      <c r="E14">
        <v>2016</v>
      </c>
    </row>
    <row r="15" spans="1:5">
      <c r="A15">
        <v>14</v>
      </c>
      <c r="B15" t="s">
        <v>238</v>
      </c>
      <c r="C15" s="208" t="s">
        <v>246</v>
      </c>
      <c r="D15" t="s">
        <v>247</v>
      </c>
      <c r="E15">
        <v>2020</v>
      </c>
    </row>
    <row r="16" spans="1:5">
      <c r="A16">
        <v>15</v>
      </c>
      <c r="B16" t="s">
        <v>238</v>
      </c>
      <c r="C16" t="s">
        <v>248</v>
      </c>
      <c r="D16" t="s">
        <v>249</v>
      </c>
      <c r="E16">
        <v>2019</v>
      </c>
    </row>
    <row r="17" spans="1:5">
      <c r="A17">
        <v>16</v>
      </c>
      <c r="B17" t="s">
        <v>238</v>
      </c>
      <c r="C17" t="s">
        <v>250</v>
      </c>
      <c r="D17" t="s">
        <v>251</v>
      </c>
      <c r="E17">
        <v>2020</v>
      </c>
    </row>
    <row r="18" spans="1:5">
      <c r="A18">
        <v>17</v>
      </c>
      <c r="B18" t="s">
        <v>238</v>
      </c>
      <c r="C18" t="s">
        <v>252</v>
      </c>
      <c r="D18" t="s">
        <v>253</v>
      </c>
      <c r="E18">
        <v>2017</v>
      </c>
    </row>
    <row r="19" spans="1:5">
      <c r="A19">
        <v>18</v>
      </c>
      <c r="B19" t="s">
        <v>152</v>
      </c>
      <c r="C19" t="s">
        <v>254</v>
      </c>
      <c r="D19" t="s">
        <v>255</v>
      </c>
      <c r="E19">
        <v>2019</v>
      </c>
    </row>
    <row r="20" spans="1:5">
      <c r="A20">
        <v>19</v>
      </c>
      <c r="B20" t="s">
        <v>153</v>
      </c>
      <c r="C20" t="s">
        <v>256</v>
      </c>
      <c r="D20" t="s">
        <v>257</v>
      </c>
      <c r="E20">
        <v>2019</v>
      </c>
    </row>
    <row r="21" spans="1:5">
      <c r="A21">
        <v>20</v>
      </c>
      <c r="B21" t="s">
        <v>153</v>
      </c>
      <c r="C21" t="s">
        <v>258</v>
      </c>
      <c r="D21" t="s">
        <v>259</v>
      </c>
      <c r="E21">
        <v>2019</v>
      </c>
    </row>
    <row r="22" spans="1:5">
      <c r="A22">
        <v>21</v>
      </c>
      <c r="B22" t="s">
        <v>154</v>
      </c>
      <c r="C22" t="s">
        <v>260</v>
      </c>
      <c r="D22" t="s">
        <v>261</v>
      </c>
      <c r="E22">
        <v>2019</v>
      </c>
    </row>
    <row r="23" spans="1:5">
      <c r="A23">
        <v>22</v>
      </c>
      <c r="B23" t="s">
        <v>154</v>
      </c>
      <c r="C23" t="s">
        <v>262</v>
      </c>
      <c r="D23" t="s">
        <v>263</v>
      </c>
      <c r="E23">
        <v>2020</v>
      </c>
    </row>
    <row r="24" spans="1:5">
      <c r="A24">
        <v>23</v>
      </c>
      <c r="B24" t="s">
        <v>190</v>
      </c>
      <c r="C24" t="s">
        <v>264</v>
      </c>
      <c r="D24" t="s">
        <v>265</v>
      </c>
      <c r="E24">
        <v>2020</v>
      </c>
    </row>
    <row r="25" spans="1:5">
      <c r="A25">
        <v>24</v>
      </c>
      <c r="B25" t="s">
        <v>191</v>
      </c>
      <c r="C25" t="s">
        <v>266</v>
      </c>
      <c r="D25" t="s">
        <v>267</v>
      </c>
      <c r="E25">
        <v>2019</v>
      </c>
    </row>
    <row r="26" spans="1:5">
      <c r="A26">
        <v>25</v>
      </c>
      <c r="B26" t="s">
        <v>268</v>
      </c>
      <c r="C26" t="s">
        <v>269</v>
      </c>
      <c r="D26" t="s">
        <v>270</v>
      </c>
      <c r="E26">
        <v>2019</v>
      </c>
    </row>
    <row r="27" spans="1:5">
      <c r="A27">
        <v>26</v>
      </c>
      <c r="B27" t="s">
        <v>268</v>
      </c>
      <c r="C27" t="s">
        <v>271</v>
      </c>
      <c r="D27" t="s">
        <v>272</v>
      </c>
      <c r="E27">
        <v>2003</v>
      </c>
    </row>
    <row r="28" spans="1:5">
      <c r="A28">
        <v>27</v>
      </c>
      <c r="B28" t="s">
        <v>268</v>
      </c>
      <c r="C28" t="s">
        <v>269</v>
      </c>
      <c r="D28" t="s">
        <v>273</v>
      </c>
      <c r="E28">
        <v>2020</v>
      </c>
    </row>
    <row r="29" spans="1:5">
      <c r="A29">
        <v>28</v>
      </c>
      <c r="B29" t="s">
        <v>158</v>
      </c>
      <c r="C29" t="s">
        <v>274</v>
      </c>
      <c r="D29" t="s">
        <v>275</v>
      </c>
      <c r="E29">
        <v>2019</v>
      </c>
    </row>
    <row r="30" spans="1:5">
      <c r="A30">
        <v>29</v>
      </c>
      <c r="B30" t="s">
        <v>159</v>
      </c>
      <c r="C30" t="s">
        <v>276</v>
      </c>
      <c r="D30" t="s">
        <v>277</v>
      </c>
      <c r="E30">
        <v>2020</v>
      </c>
    </row>
    <row r="31" spans="1:5">
      <c r="A31">
        <v>30</v>
      </c>
      <c r="B31" t="s">
        <v>159</v>
      </c>
      <c r="C31" t="s">
        <v>278</v>
      </c>
      <c r="D31" t="s">
        <v>279</v>
      </c>
      <c r="E31">
        <v>2016</v>
      </c>
    </row>
    <row r="32" spans="1:5">
      <c r="A32">
        <v>31</v>
      </c>
      <c r="B32" t="s">
        <v>160</v>
      </c>
      <c r="C32" t="s">
        <v>280</v>
      </c>
      <c r="D32" t="s">
        <v>281</v>
      </c>
      <c r="E32">
        <v>2019</v>
      </c>
    </row>
    <row r="33" spans="1:5">
      <c r="A33">
        <v>32</v>
      </c>
      <c r="B33" t="s">
        <v>160</v>
      </c>
      <c r="C33" t="s">
        <v>282</v>
      </c>
      <c r="D33" t="s">
        <v>283</v>
      </c>
      <c r="E33">
        <v>2019</v>
      </c>
    </row>
    <row r="34" spans="1:5">
      <c r="A34">
        <v>33</v>
      </c>
      <c r="B34" t="s">
        <v>161</v>
      </c>
      <c r="C34" t="s">
        <v>284</v>
      </c>
      <c r="D34" t="s">
        <v>285</v>
      </c>
      <c r="E34">
        <v>2019</v>
      </c>
    </row>
    <row r="35" spans="1:5">
      <c r="A35">
        <v>34</v>
      </c>
      <c r="B35" t="s">
        <v>162</v>
      </c>
      <c r="C35" t="s">
        <v>286</v>
      </c>
      <c r="D35" t="s">
        <v>287</v>
      </c>
      <c r="E35">
        <v>2020</v>
      </c>
    </row>
    <row r="36" spans="1:5">
      <c r="A36">
        <v>35</v>
      </c>
      <c r="B36" t="s">
        <v>211</v>
      </c>
      <c r="C36" t="s">
        <v>288</v>
      </c>
      <c r="D36" t="s">
        <v>289</v>
      </c>
      <c r="E36">
        <v>2020</v>
      </c>
    </row>
    <row r="37" spans="1:5">
      <c r="A37">
        <v>36</v>
      </c>
      <c r="B37" t="s">
        <v>211</v>
      </c>
      <c r="C37" t="s">
        <v>290</v>
      </c>
      <c r="D37" t="s">
        <v>291</v>
      </c>
      <c r="E37">
        <v>2020</v>
      </c>
    </row>
    <row r="38" spans="1:5">
      <c r="A38">
        <v>37</v>
      </c>
      <c r="B38" t="s">
        <v>163</v>
      </c>
      <c r="C38" t="s">
        <v>292</v>
      </c>
      <c r="D38" t="s">
        <v>293</v>
      </c>
      <c r="E38">
        <v>2019</v>
      </c>
    </row>
    <row r="39" spans="1:5">
      <c r="A39">
        <v>38</v>
      </c>
      <c r="B39" t="s">
        <v>165</v>
      </c>
      <c r="C39" t="s">
        <v>294</v>
      </c>
      <c r="D39" t="s">
        <v>295</v>
      </c>
      <c r="E39">
        <v>2020</v>
      </c>
    </row>
    <row r="40" spans="1:5">
      <c r="A40">
        <v>39</v>
      </c>
      <c r="B40" t="s">
        <v>165</v>
      </c>
      <c r="C40" t="s">
        <v>296</v>
      </c>
      <c r="D40" t="s">
        <v>297</v>
      </c>
      <c r="E40">
        <v>2015</v>
      </c>
    </row>
    <row r="41" spans="1:5">
      <c r="A41">
        <v>40</v>
      </c>
      <c r="B41" t="s">
        <v>166</v>
      </c>
      <c r="C41" t="s">
        <v>298</v>
      </c>
      <c r="D41" t="s">
        <v>226</v>
      </c>
      <c r="E41">
        <v>2019</v>
      </c>
    </row>
    <row r="42" spans="1:5">
      <c r="A42">
        <v>41</v>
      </c>
      <c r="B42" t="s">
        <v>195</v>
      </c>
      <c r="C42" t="s">
        <v>299</v>
      </c>
      <c r="D42" t="s">
        <v>300</v>
      </c>
      <c r="E42">
        <v>2020</v>
      </c>
    </row>
    <row r="43" spans="1:5">
      <c r="A43">
        <v>42</v>
      </c>
      <c r="B43" t="s">
        <v>168</v>
      </c>
      <c r="C43" t="s">
        <v>301</v>
      </c>
      <c r="D43" t="s">
        <v>302</v>
      </c>
      <c r="E43">
        <v>2020</v>
      </c>
    </row>
    <row r="44" spans="1:5">
      <c r="A44">
        <v>43</v>
      </c>
      <c r="B44" t="s">
        <v>169</v>
      </c>
      <c r="C44" t="s">
        <v>303</v>
      </c>
      <c r="D44" t="s">
        <v>304</v>
      </c>
      <c r="E44">
        <v>2019</v>
      </c>
    </row>
    <row r="45" spans="1:5">
      <c r="A45">
        <v>44</v>
      </c>
      <c r="B45" t="s">
        <v>305</v>
      </c>
      <c r="C45" t="s">
        <v>306</v>
      </c>
      <c r="D45" t="s">
        <v>307</v>
      </c>
      <c r="E45">
        <v>2019</v>
      </c>
    </row>
    <row r="46" spans="1:5">
      <c r="A46">
        <v>45</v>
      </c>
      <c r="B46" t="s">
        <v>305</v>
      </c>
      <c r="C46" t="s">
        <v>308</v>
      </c>
      <c r="D46" t="s">
        <v>309</v>
      </c>
      <c r="E46">
        <v>2019</v>
      </c>
    </row>
    <row r="47" spans="1:5">
      <c r="A47">
        <v>46</v>
      </c>
      <c r="B47" t="s">
        <v>305</v>
      </c>
      <c r="C47" t="s">
        <v>310</v>
      </c>
      <c r="D47" t="s">
        <v>311</v>
      </c>
      <c r="E47">
        <v>2018</v>
      </c>
    </row>
    <row r="48" spans="1:5">
      <c r="A48">
        <v>47</v>
      </c>
      <c r="B48" t="s">
        <v>305</v>
      </c>
      <c r="C48" t="s">
        <v>310</v>
      </c>
      <c r="D48" t="s">
        <v>312</v>
      </c>
      <c r="E48">
        <v>2019</v>
      </c>
    </row>
    <row r="49" spans="1:5">
      <c r="A49">
        <v>48</v>
      </c>
      <c r="B49" t="s">
        <v>56</v>
      </c>
      <c r="C49" t="s">
        <v>313</v>
      </c>
      <c r="D49" t="s">
        <v>314</v>
      </c>
      <c r="E49">
        <v>2018</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5A461-0A63-4323-9706-1692F755EEC1}">
  <dimension ref="A1:O55"/>
  <sheetViews>
    <sheetView topLeftCell="A29" zoomScale="98" zoomScaleNormal="98" workbookViewId="0">
      <selection activeCell="G57" sqref="G57"/>
    </sheetView>
  </sheetViews>
  <sheetFormatPr defaultColWidth="11.44140625" defaultRowHeight="14.4"/>
  <cols>
    <col min="1" max="1" width="19.44140625" style="19" customWidth="1"/>
    <col min="2" max="16384" width="11.44140625" style="19"/>
  </cols>
  <sheetData>
    <row r="1" spans="1:15" ht="0.15" customHeight="1" thickBot="1">
      <c r="A1" s="64" t="s">
        <v>21</v>
      </c>
      <c r="B1" s="65" t="s">
        <v>315</v>
      </c>
      <c r="C1" s="65" t="s">
        <v>111</v>
      </c>
      <c r="D1" s="66"/>
      <c r="E1" s="64" t="s">
        <v>112</v>
      </c>
      <c r="F1" s="64" t="s">
        <v>113</v>
      </c>
      <c r="G1" s="64" t="s">
        <v>114</v>
      </c>
      <c r="H1" s="64" t="s">
        <v>316</v>
      </c>
      <c r="I1" s="64" t="s">
        <v>317</v>
      </c>
      <c r="J1" s="64" t="s">
        <v>117</v>
      </c>
      <c r="K1" s="64" t="s">
        <v>118</v>
      </c>
      <c r="L1" s="64" t="s">
        <v>318</v>
      </c>
      <c r="M1" s="64" t="s">
        <v>120</v>
      </c>
      <c r="N1" s="67" t="s">
        <v>121</v>
      </c>
      <c r="O1" s="67" t="s">
        <v>319</v>
      </c>
    </row>
    <row r="2" spans="1:15" ht="0.15" customHeight="1" thickBot="1">
      <c r="A2" s="55" t="s">
        <v>27</v>
      </c>
      <c r="B2" s="56">
        <f>'5 Heat supply and fuel mix'!B4/'5 Heat supply and fuel mix'!N4</f>
        <v>0.6</v>
      </c>
      <c r="C2" s="57">
        <f t="shared" ref="C2:C7" si="0">1-B2</f>
        <v>0.4</v>
      </c>
      <c r="E2" s="56">
        <f>'5 Heat supply and fuel mix'!D4/'5 Heat supply and fuel mix'!$N4</f>
        <v>0.36</v>
      </c>
      <c r="F2" s="56">
        <f>'5 Heat supply and fuel mix'!E4/'5 Heat supply and fuel mix'!$N4</f>
        <v>0.05</v>
      </c>
      <c r="G2" s="56">
        <f>'5 Heat supply and fuel mix'!F4/'5 Heat supply and fuel mix'!$N4</f>
        <v>0.05</v>
      </c>
      <c r="H2" s="56">
        <f>'5 Heat supply and fuel mix'!G4/'5 Heat supply and fuel mix'!$N4</f>
        <v>7.0000000000000007E-2</v>
      </c>
      <c r="I2" s="56">
        <f>'5 Heat supply and fuel mix'!H4/'5 Heat supply and fuel mix'!$N4</f>
        <v>0.47</v>
      </c>
      <c r="J2" s="56">
        <f>'5 Heat supply and fuel mix'!I4/'5 Heat supply and fuel mix'!$N4</f>
        <v>0</v>
      </c>
      <c r="K2" s="56">
        <f>'5 Heat supply and fuel mix'!J4/'5 Heat supply and fuel mix'!$N4</f>
        <v>0</v>
      </c>
      <c r="L2" s="56">
        <f>'5 Heat supply and fuel mix'!K4/'5 Heat supply and fuel mix'!$N4</f>
        <v>0</v>
      </c>
      <c r="M2" s="56">
        <f>'5 Heat supply and fuel mix'!L4/'5 Heat supply and fuel mix'!$N4</f>
        <v>0</v>
      </c>
      <c r="N2" s="56">
        <f>'5 Heat supply and fuel mix'!M4/'5 Heat supply and fuel mix'!$N4</f>
        <v>0</v>
      </c>
      <c r="O2" s="57">
        <f t="shared" ref="O2:O21" si="1">SUM(E2:N2)</f>
        <v>1</v>
      </c>
    </row>
    <row r="3" spans="1:15" ht="0.15" customHeight="1" thickBot="1">
      <c r="A3" s="55" t="s">
        <v>29</v>
      </c>
      <c r="B3" s="56">
        <f>'5 Heat supply and fuel mix'!B6/'5 Heat supply and fuel mix'!N6</f>
        <v>0.69160122454412354</v>
      </c>
      <c r="C3" s="57">
        <f t="shared" si="0"/>
        <v>0.30839877545587646</v>
      </c>
      <c r="E3" s="56">
        <f>'5 Heat supply and fuel mix'!D6/'5 Heat supply and fuel mix'!$N6</f>
        <v>0.65353387461732992</v>
      </c>
      <c r="F3" s="56">
        <f>'5 Heat supply and fuel mix'!E6/'5 Heat supply and fuel mix'!$N6</f>
        <v>0</v>
      </c>
      <c r="G3" s="56">
        <f>'5 Heat supply and fuel mix'!F6/'5 Heat supply and fuel mix'!$N6</f>
        <v>3.0613603087980834E-2</v>
      </c>
      <c r="H3" s="56">
        <f>'5 Heat supply and fuel mix'!G6/'5 Heat supply and fuel mix'!$N6</f>
        <v>0</v>
      </c>
      <c r="I3" s="56">
        <f>'5 Heat supply and fuel mix'!H6/'5 Heat supply and fuel mix'!$N6</f>
        <v>0.30839877545587646</v>
      </c>
      <c r="J3" s="56">
        <f>'5 Heat supply and fuel mix'!I6/'5 Heat supply and fuel mix'!$N6</f>
        <v>0</v>
      </c>
      <c r="K3" s="56">
        <f>'5 Heat supply and fuel mix'!J6/'5 Heat supply and fuel mix'!$N6</f>
        <v>0</v>
      </c>
      <c r="L3" s="56">
        <f>'5 Heat supply and fuel mix'!K6/'5 Heat supply and fuel mix'!$N6</f>
        <v>0</v>
      </c>
      <c r="M3" s="56">
        <f>'5 Heat supply and fuel mix'!L6/'5 Heat supply and fuel mix'!$N6</f>
        <v>7.4537468388127248E-3</v>
      </c>
      <c r="N3" s="56">
        <f>'5 Heat supply and fuel mix'!M6/'5 Heat supply and fuel mix'!$N6</f>
        <v>0</v>
      </c>
      <c r="O3" s="57">
        <f t="shared" si="1"/>
        <v>0.99999999999999989</v>
      </c>
    </row>
    <row r="4" spans="1:15" ht="0.15" customHeight="1" thickBot="1">
      <c r="A4" s="55" t="s">
        <v>31</v>
      </c>
      <c r="B4" s="56">
        <f>'5 Heat supply and fuel mix'!B7/'5 Heat supply and fuel mix'!N7</f>
        <v>0.77466504263093783</v>
      </c>
      <c r="C4" s="57">
        <f t="shared" si="0"/>
        <v>0.22533495736906217</v>
      </c>
      <c r="E4" s="56">
        <f>'5 Heat supply and fuel mix'!D7/'5 Heat supply and fuel mix'!$N7</f>
        <v>0.85586682907023959</v>
      </c>
      <c r="F4" s="56">
        <f>'5 Heat supply and fuel mix'!E7/'5 Heat supply and fuel mix'!$N7</f>
        <v>0.13844904587900933</v>
      </c>
      <c r="G4" s="56">
        <f>'5 Heat supply and fuel mix'!F7/'5 Heat supply and fuel mix'!$N7</f>
        <v>0</v>
      </c>
      <c r="H4" s="56">
        <f>'5 Heat supply and fuel mix'!G7/'5 Heat supply and fuel mix'!$N7</f>
        <v>0</v>
      </c>
      <c r="I4" s="56">
        <f>'5 Heat supply and fuel mix'!H7/'5 Heat supply and fuel mix'!$N7</f>
        <v>3.9951278928136418E-3</v>
      </c>
      <c r="J4" s="56">
        <f>'5 Heat supply and fuel mix'!I7/'5 Heat supply and fuel mix'!$N7</f>
        <v>1.7523345513601298E-3</v>
      </c>
      <c r="K4" s="56">
        <f>'5 Heat supply and fuel mix'!J7/'5 Heat supply and fuel mix'!$N7</f>
        <v>0</v>
      </c>
      <c r="L4" s="56">
        <f>'5 Heat supply and fuel mix'!K7/'5 Heat supply and fuel mix'!$N7</f>
        <v>0</v>
      </c>
      <c r="M4" s="56">
        <f>'5 Heat supply and fuel mix'!L7/'5 Heat supply and fuel mix'!$N7</f>
        <v>0</v>
      </c>
      <c r="N4" s="56">
        <f>'5 Heat supply and fuel mix'!M7/'5 Heat supply and fuel mix'!$N7</f>
        <v>0</v>
      </c>
      <c r="O4" s="57">
        <f t="shared" si="1"/>
        <v>1.0000633373934227</v>
      </c>
    </row>
    <row r="5" spans="1:15" ht="0.15" customHeight="1" thickBot="1">
      <c r="A5" s="55" t="s">
        <v>32</v>
      </c>
      <c r="B5" s="56">
        <f>'5 Heat supply and fuel mix'!B8/'5 Heat supply and fuel mix'!N8</f>
        <v>0.68</v>
      </c>
      <c r="C5" s="57">
        <f t="shared" si="0"/>
        <v>0.31999999999999995</v>
      </c>
      <c r="E5" s="56">
        <f>'5 Heat supply and fuel mix'!D8/'5 Heat supply and fuel mix'!$N8</f>
        <v>0.25</v>
      </c>
      <c r="F5" s="56">
        <f>'5 Heat supply and fuel mix'!E8/'5 Heat supply and fuel mix'!$N8</f>
        <v>0</v>
      </c>
      <c r="G5" s="56">
        <f>'5 Heat supply and fuel mix'!F8/'5 Heat supply and fuel mix'!$N8</f>
        <v>0.59</v>
      </c>
      <c r="H5" s="56">
        <f>'5 Heat supply and fuel mix'!G8/'5 Heat supply and fuel mix'!$N8</f>
        <v>0</v>
      </c>
      <c r="I5" s="56">
        <f>'5 Heat supply and fuel mix'!H8/'5 Heat supply and fuel mix'!$N8</f>
        <v>0.06</v>
      </c>
      <c r="J5" s="56">
        <f>'5 Heat supply and fuel mix'!I8/'5 Heat supply and fuel mix'!$N8</f>
        <v>0</v>
      </c>
      <c r="K5" s="56">
        <f>'5 Heat supply and fuel mix'!J8/'5 Heat supply and fuel mix'!$N8</f>
        <v>1.1293054771315642E-5</v>
      </c>
      <c r="L5" s="56">
        <f>'5 Heat supply and fuel mix'!K8/'5 Heat supply and fuel mix'!$N8</f>
        <v>9.7120271033314506E-4</v>
      </c>
      <c r="M5" s="56">
        <f>'5 Heat supply and fuel mix'!L8/'5 Heat supply and fuel mix'!$N8</f>
        <v>6.0982495765104462E-3</v>
      </c>
      <c r="N5" s="56">
        <f>'5 Heat supply and fuel mix'!M8/'5 Heat supply and fuel mix'!$N8</f>
        <v>9.2919254658385061E-2</v>
      </c>
      <c r="O5" s="57">
        <f t="shared" si="1"/>
        <v>0.99999999999999978</v>
      </c>
    </row>
    <row r="6" spans="1:15" ht="0.15" customHeight="1" thickBot="1">
      <c r="A6" s="55" t="s">
        <v>33</v>
      </c>
      <c r="B6" s="56">
        <f>'5 Heat supply and fuel mix'!B9/'5 Heat supply and fuel mix'!N9</f>
        <v>0.66225460043132511</v>
      </c>
      <c r="C6" s="57">
        <f t="shared" si="0"/>
        <v>0.33774539956867489</v>
      </c>
      <c r="D6" s="58"/>
      <c r="E6" s="56">
        <f>'5 Heat supply and fuel mix'!D9/'5 Heat supply and fuel mix'!$N9</f>
        <v>0.15152705416762391</v>
      </c>
      <c r="F6" s="56">
        <f>'5 Heat supply and fuel mix'!E9/'5 Heat supply and fuel mix'!$N9</f>
        <v>9.5603002971845277E-3</v>
      </c>
      <c r="G6" s="56">
        <f>'5 Heat supply and fuel mix'!F9/'5 Heat supply and fuel mix'!$N9</f>
        <v>0.12234961054745687</v>
      </c>
      <c r="H6" s="56">
        <f>'5 Heat supply and fuel mix'!G9/'5 Heat supply and fuel mix'!$N9</f>
        <v>9.4098552615001524E-2</v>
      </c>
      <c r="I6" s="56">
        <f>'5 Heat supply and fuel mix'!H9/'5 Heat supply and fuel mix'!$N9</f>
        <v>0.56606612170484616</v>
      </c>
      <c r="J6" s="56">
        <f>'5 Heat supply and fuel mix'!I9/'5 Heat supply and fuel mix'!$N9</f>
        <v>4.076097025931388E-4</v>
      </c>
      <c r="K6" s="56">
        <f>'5 Heat supply and fuel mix'!J9/'5 Heat supply and fuel mix'!$N9</f>
        <v>1.5815256460613783E-2</v>
      </c>
      <c r="L6" s="56">
        <f>'5 Heat supply and fuel mix'!K9/'5 Heat supply and fuel mix'!$N9</f>
        <v>1.0130953880814923E-2</v>
      </c>
      <c r="M6" s="56">
        <f>'5 Heat supply and fuel mix'!L9/'5 Heat supply and fuel mix'!$N9</f>
        <v>3.0051951709366871E-2</v>
      </c>
      <c r="N6" s="56">
        <f>'5 Heat supply and fuel mix'!M9/'5 Heat supply and fuel mix'!$N9</f>
        <v>0</v>
      </c>
      <c r="O6" s="57">
        <f t="shared" si="1"/>
        <v>1.0000074110855017</v>
      </c>
    </row>
    <row r="7" spans="1:15" ht="0.15" customHeight="1" thickBot="1">
      <c r="A7" s="55" t="s">
        <v>34</v>
      </c>
      <c r="B7" s="56">
        <f>'5 Heat supply and fuel mix'!B10/'5 Heat supply and fuel mix'!N10</f>
        <v>0.49</v>
      </c>
      <c r="C7" s="57">
        <f t="shared" si="0"/>
        <v>0.51</v>
      </c>
      <c r="E7" s="56">
        <f>'5 Heat supply and fuel mix'!D10/'5 Heat supply and fuel mix'!$N10</f>
        <v>0.41962108422434813</v>
      </c>
      <c r="F7" s="56">
        <f>'5 Heat supply and fuel mix'!E10/'5 Heat supply and fuel mix'!$N10</f>
        <v>8.2911273682235984E-2</v>
      </c>
      <c r="G7" s="56">
        <f>'5 Heat supply and fuel mix'!F10/'5 Heat supply and fuel mix'!$N10</f>
        <v>3.5828174826486585E-2</v>
      </c>
      <c r="H7" s="56">
        <f>'5 Heat supply and fuel mix'!G10/'5 Heat supply and fuel mix'!$N10</f>
        <v>0</v>
      </c>
      <c r="I7" s="56">
        <f>'5 Heat supply and fuel mix'!H10/'5 Heat supply and fuel mix'!$N10</f>
        <v>0.45938848246107672</v>
      </c>
      <c r="J7" s="56">
        <f>'5 Heat supply and fuel mix'!I10/'5 Heat supply and fuel mix'!$N10</f>
        <v>0</v>
      </c>
      <c r="K7" s="56">
        <f>'5 Heat supply and fuel mix'!J10/'5 Heat supply and fuel mix'!$N10</f>
        <v>0</v>
      </c>
      <c r="L7" s="56">
        <f>'5 Heat supply and fuel mix'!K10/'5 Heat supply and fuel mix'!$N10</f>
        <v>2.2509848058525606E-3</v>
      </c>
      <c r="M7" s="56">
        <f>'5 Heat supply and fuel mix'!L10/'5 Heat supply and fuel mix'!$N10</f>
        <v>0</v>
      </c>
      <c r="N7" s="56">
        <f>'5 Heat supply and fuel mix'!M10/'5 Heat supply and fuel mix'!$N10</f>
        <v>0</v>
      </c>
      <c r="O7" s="57">
        <f t="shared" si="1"/>
        <v>1</v>
      </c>
    </row>
    <row r="8" spans="1:15" ht="0.15" customHeight="1" thickBot="1">
      <c r="A8" s="55" t="s">
        <v>35</v>
      </c>
      <c r="B8" s="56">
        <f>'5 Heat supply and fuel mix'!B11/'5 Heat supply and fuel mix'!N11</f>
        <v>0.67200000000000004</v>
      </c>
      <c r="C8" s="57">
        <f t="shared" ref="C8:C21" si="2">1-B8</f>
        <v>0.32799999999999996</v>
      </c>
      <c r="E8" s="56">
        <f>'5 Heat supply and fuel mix'!D11/'5 Heat supply and fuel mix'!$N11</f>
        <v>0.125</v>
      </c>
      <c r="F8" s="56">
        <f>'5 Heat supply and fuel mix'!E11/'5 Heat supply and fuel mix'!$N11</f>
        <v>2.5000000000000001E-2</v>
      </c>
      <c r="G8" s="56">
        <f>'5 Heat supply and fuel mix'!F11/'5 Heat supply and fuel mix'!$N11</f>
        <v>0.34699999999999998</v>
      </c>
      <c r="H8" s="56">
        <f>'5 Heat supply and fuel mix'!G11/'5 Heat supply and fuel mix'!$N11</f>
        <v>0</v>
      </c>
      <c r="I8" s="56">
        <f>'5 Heat supply and fuel mix'!H11/'5 Heat supply and fuel mix'!$N11</f>
        <v>0.36399999999999999</v>
      </c>
      <c r="J8" s="56">
        <f>'5 Heat supply and fuel mix'!I11/'5 Heat supply and fuel mix'!$N11</f>
        <v>0</v>
      </c>
      <c r="K8" s="56">
        <f>'5 Heat supply and fuel mix'!J11/'5 Heat supply and fuel mix'!$N11</f>
        <v>0</v>
      </c>
      <c r="L8" s="56">
        <f>'5 Heat supply and fuel mix'!K11/'5 Heat supply and fuel mix'!$N11</f>
        <v>0</v>
      </c>
      <c r="M8" s="56">
        <f>'5 Heat supply and fuel mix'!L11/'5 Heat supply and fuel mix'!$N11</f>
        <v>0</v>
      </c>
      <c r="N8" s="56">
        <f>'5 Heat supply and fuel mix'!M11/'5 Heat supply and fuel mix'!$N11</f>
        <v>0.13900000000000004</v>
      </c>
      <c r="O8" s="57">
        <f t="shared" si="1"/>
        <v>1</v>
      </c>
    </row>
    <row r="9" spans="1:15" ht="0.15" customHeight="1" thickBot="1">
      <c r="A9" s="55" t="s">
        <v>36</v>
      </c>
      <c r="B9" s="56">
        <f>'5 Heat supply and fuel mix'!B12/'5 Heat supply and fuel mix'!N12</f>
        <v>0.35337716676628811</v>
      </c>
      <c r="C9" s="57">
        <f t="shared" si="2"/>
        <v>0.64662283323371184</v>
      </c>
      <c r="E9" s="56">
        <f>'5 Heat supply and fuel mix'!D12/'5 Heat supply and fuel mix'!$N12</f>
        <v>0.37985654512851164</v>
      </c>
      <c r="F9" s="56">
        <f>'5 Heat supply and fuel mix'!E12/'5 Heat supply and fuel mix'!$N12</f>
        <v>6.7842199641362823E-3</v>
      </c>
      <c r="G9" s="56">
        <f>'5 Heat supply and fuel mix'!F12/'5 Heat supply and fuel mix'!$N12</f>
        <v>4.5756126718469813E-2</v>
      </c>
      <c r="H9" s="56">
        <f>'5 Heat supply and fuel mix'!G12/'5 Heat supply and fuel mix'!$N12</f>
        <v>0</v>
      </c>
      <c r="I9" s="56">
        <f>'5 Heat supply and fuel mix'!H12/'5 Heat supply and fuel mix'!$N12</f>
        <v>0.48347280334728032</v>
      </c>
      <c r="J9" s="56">
        <f>'5 Heat supply and fuel mix'!I12/'5 Heat supply and fuel mix'!$N12</f>
        <v>5.0209205020920501E-2</v>
      </c>
      <c r="K9" s="56">
        <f>'5 Heat supply and fuel mix'!J12/'5 Heat supply and fuel mix'!$N12</f>
        <v>0</v>
      </c>
      <c r="L9" s="56">
        <f>'5 Heat supply and fuel mix'!K12/'5 Heat supply and fuel mix'!$N12</f>
        <v>8.2187686790197254E-3</v>
      </c>
      <c r="M9" s="56">
        <f>'5 Heat supply and fuel mix'!L12/'5 Heat supply and fuel mix'!$N12</f>
        <v>2.5582785415421399E-2</v>
      </c>
      <c r="N9" s="56">
        <f>'5 Heat supply and fuel mix'!M12/'5 Heat supply and fuel mix'!$N12</f>
        <v>1.1954572624028691E-4</v>
      </c>
      <c r="O9" s="57">
        <f t="shared" si="1"/>
        <v>0.99999999999999989</v>
      </c>
    </row>
    <row r="10" spans="1:15" ht="0.15" customHeight="1" thickBot="1">
      <c r="A10" s="55" t="s">
        <v>37</v>
      </c>
      <c r="B10" s="56">
        <f>'5 Heat supply and fuel mix'!B13/'5 Heat supply and fuel mix'!N13</f>
        <v>0.70610929192890848</v>
      </c>
      <c r="C10" s="57">
        <f t="shared" si="2"/>
        <v>0.29389070807109152</v>
      </c>
      <c r="E10" s="56">
        <f>'5 Heat supply and fuel mix'!D13/'5 Heat supply and fuel mix'!$N13</f>
        <v>0.39278291119392644</v>
      </c>
      <c r="F10" s="56">
        <f>'5 Heat supply and fuel mix'!E13/'5 Heat supply and fuel mix'!$N13</f>
        <v>1.0552877427635849E-2</v>
      </c>
      <c r="G10" s="56">
        <f>'5 Heat supply and fuel mix'!F13/'5 Heat supply and fuel mix'!$N13</f>
        <v>0.26578373529561916</v>
      </c>
      <c r="H10" s="56">
        <f>'5 Heat supply and fuel mix'!G13/'5 Heat supply and fuel mix'!$N13</f>
        <v>0.11565136851931535</v>
      </c>
      <c r="I10" s="56">
        <f>'5 Heat supply and fuel mix'!H13/'5 Heat supply and fuel mix'!$N13</f>
        <v>0.1915708253414917</v>
      </c>
      <c r="J10" s="56">
        <f>'5 Heat supply and fuel mix'!I13/'5 Heat supply and fuel mix'!$N13</f>
        <v>6.6511570241906664E-3</v>
      </c>
      <c r="K10" s="56">
        <f>'5 Heat supply and fuel mix'!J13/'5 Heat supply and fuel mix'!$N13</f>
        <v>2.3337393067335673E-4</v>
      </c>
      <c r="L10" s="56">
        <f>'5 Heat supply and fuel mix'!K13/'5 Heat supply and fuel mix'!$N13</f>
        <v>0</v>
      </c>
      <c r="M10" s="56">
        <f>'5 Heat supply and fuel mix'!L13/'5 Heat supply and fuel mix'!$N13</f>
        <v>1.6773751267147516E-2</v>
      </c>
      <c r="N10" s="56">
        <f>'5 Heat supply and fuel mix'!M13/'5 Heat supply and fuel mix'!$N13</f>
        <v>0</v>
      </c>
      <c r="O10" s="57">
        <f t="shared" si="1"/>
        <v>1</v>
      </c>
    </row>
    <row r="11" spans="1:15" ht="0.15" customHeight="1" thickBot="1">
      <c r="A11" s="59" t="s">
        <v>38</v>
      </c>
      <c r="B11" s="56">
        <f>'5 Heat supply and fuel mix'!B14/'5 Heat supply and fuel mix'!N14</f>
        <v>1</v>
      </c>
      <c r="C11" s="57">
        <f t="shared" si="2"/>
        <v>0</v>
      </c>
      <c r="E11" s="56">
        <f>'5 Heat supply and fuel mix'!D14/'5 Heat supply and fuel mix'!$N14</f>
        <v>0</v>
      </c>
      <c r="F11" s="56">
        <f>'5 Heat supply and fuel mix'!E14/'5 Heat supply and fuel mix'!$N14</f>
        <v>0</v>
      </c>
      <c r="G11" s="56">
        <f>'5 Heat supply and fuel mix'!F14/'5 Heat supply and fuel mix'!$N14</f>
        <v>1</v>
      </c>
      <c r="H11" s="56">
        <f>'5 Heat supply and fuel mix'!G14/'5 Heat supply and fuel mix'!$N14</f>
        <v>0</v>
      </c>
      <c r="I11" s="56">
        <f>'5 Heat supply and fuel mix'!H14/'5 Heat supply and fuel mix'!$N14</f>
        <v>0</v>
      </c>
      <c r="J11" s="56">
        <f>'5 Heat supply and fuel mix'!I14/'5 Heat supply and fuel mix'!$N14</f>
        <v>0</v>
      </c>
      <c r="K11" s="56">
        <f>'5 Heat supply and fuel mix'!J14/'5 Heat supply and fuel mix'!$N14</f>
        <v>0</v>
      </c>
      <c r="L11" s="56">
        <f>'5 Heat supply and fuel mix'!K14/'5 Heat supply and fuel mix'!$N14</f>
        <v>0</v>
      </c>
      <c r="M11" s="56">
        <f>'5 Heat supply and fuel mix'!L14/'5 Heat supply and fuel mix'!$N14</f>
        <v>0</v>
      </c>
      <c r="N11" s="56">
        <f>'5 Heat supply and fuel mix'!M14/'5 Heat supply and fuel mix'!$N14</f>
        <v>0</v>
      </c>
      <c r="O11" s="57">
        <f t="shared" si="1"/>
        <v>1</v>
      </c>
    </row>
    <row r="12" spans="1:15" ht="0.15" customHeight="1" thickBot="1">
      <c r="A12" s="55" t="s">
        <v>39</v>
      </c>
      <c r="B12" s="56">
        <f>'5 Heat supply and fuel mix'!B15/'5 Heat supply and fuel mix'!N15</f>
        <v>0.48671331240487575</v>
      </c>
      <c r="C12" s="57">
        <f t="shared" si="2"/>
        <v>0.5132866875951243</v>
      </c>
      <c r="E12" s="56">
        <f>'5 Heat supply and fuel mix'!D15/'5 Heat supply and fuel mix'!$N15</f>
        <v>0.68302695100943422</v>
      </c>
      <c r="F12" s="56">
        <f>'5 Heat supply and fuel mix'!E15/'5 Heat supply and fuel mix'!$N15</f>
        <v>1.7330903654782955E-3</v>
      </c>
      <c r="G12" s="56">
        <f>'5 Heat supply and fuel mix'!F15/'5 Heat supply and fuel mix'!$N15</f>
        <v>1.5920721772436395E-2</v>
      </c>
      <c r="H12" s="56">
        <f>'5 Heat supply and fuel mix'!G15/'5 Heat supply and fuel mix'!$N15</f>
        <v>7.5733829325159541E-2</v>
      </c>
      <c r="I12" s="56">
        <f>'5 Heat supply and fuel mix'!H15/'5 Heat supply and fuel mix'!$N15</f>
        <v>0.15605317106639902</v>
      </c>
      <c r="J12" s="56">
        <f>'5 Heat supply and fuel mix'!I15/'5 Heat supply and fuel mix'!$N15</f>
        <v>6.7482691837415815E-2</v>
      </c>
      <c r="K12" s="56">
        <f>'5 Heat supply and fuel mix'!J15/'5 Heat supply and fuel mix'!$N15</f>
        <v>1.3423855256456429E-5</v>
      </c>
      <c r="L12" s="56">
        <f>'5 Heat supply and fuel mix'!K15/'5 Heat supply and fuel mix'!$N15</f>
        <v>0</v>
      </c>
      <c r="M12" s="56">
        <f>'5 Heat supply and fuel mix'!L15/'5 Heat supply and fuel mix'!$N15</f>
        <v>0</v>
      </c>
      <c r="N12" s="56">
        <f>'5 Heat supply and fuel mix'!M15/'5 Heat supply and fuel mix'!$N15</f>
        <v>0</v>
      </c>
      <c r="O12" s="57">
        <f t="shared" si="1"/>
        <v>0.99996387923157992</v>
      </c>
    </row>
    <row r="13" spans="1:15" ht="0.15" customHeight="1" thickBot="1">
      <c r="A13" s="55" t="s">
        <v>41</v>
      </c>
      <c r="B13" s="56">
        <f>'5 Heat supply and fuel mix'!B17/'5 Heat supply and fuel mix'!N17</f>
        <v>0.65969192413854505</v>
      </c>
      <c r="C13" s="57">
        <f t="shared" si="2"/>
        <v>0.34030807586145495</v>
      </c>
      <c r="E13" s="56">
        <f>'5 Heat supply and fuel mix'!D17/'5 Heat supply and fuel mix'!$N17</f>
        <v>0.70299999999999996</v>
      </c>
      <c r="F13" s="56">
        <f>'5 Heat supply and fuel mix'!E17/'5 Heat supply and fuel mix'!$N17</f>
        <v>0.01</v>
      </c>
      <c r="G13" s="56">
        <f>'5 Heat supply and fuel mix'!F17/'5 Heat supply and fuel mix'!$N17</f>
        <v>2.5000000000000001E-2</v>
      </c>
      <c r="H13" s="56">
        <f>'5 Heat supply and fuel mix'!G17/'5 Heat supply and fuel mix'!$N17</f>
        <v>0.14199999999999999</v>
      </c>
      <c r="I13" s="56">
        <f>'5 Heat supply and fuel mix'!H17/'5 Heat supply and fuel mix'!$N17</f>
        <v>9.5999999999999988E-2</v>
      </c>
      <c r="J13" s="56">
        <f>'5 Heat supply and fuel mix'!I17/'5 Heat supply and fuel mix'!$N17</f>
        <v>1.4E-2</v>
      </c>
      <c r="K13" s="56">
        <f>'5 Heat supply and fuel mix'!J17/'5 Heat supply and fuel mix'!$N17</f>
        <v>8.9039266316445553E-5</v>
      </c>
      <c r="L13" s="56">
        <f>'5 Heat supply and fuel mix'!K17/'5 Heat supply and fuel mix'!$N17</f>
        <v>5.4313952453031791E-3</v>
      </c>
      <c r="M13" s="56">
        <f>'5 Heat supply and fuel mix'!L17/'5 Heat supply and fuel mix'!$N17</f>
        <v>4.5410025821387232E-3</v>
      </c>
      <c r="N13" s="56">
        <f>'5 Heat supply and fuel mix'!M17/'5 Heat supply and fuel mix'!$N17</f>
        <v>0</v>
      </c>
      <c r="O13" s="57">
        <f t="shared" si="1"/>
        <v>1.0000614370937584</v>
      </c>
    </row>
    <row r="14" spans="1:15" ht="0.15" customHeight="1" thickBot="1">
      <c r="A14" s="55" t="s">
        <v>42</v>
      </c>
      <c r="B14" s="56">
        <f>'5 Heat supply and fuel mix'!B18/'5 Heat supply and fuel mix'!N18</f>
        <v>0.71452825612418147</v>
      </c>
      <c r="C14" s="57">
        <f t="shared" si="2"/>
        <v>0.28547174387581853</v>
      </c>
      <c r="E14" s="56">
        <f>'5 Heat supply and fuel mix'!D18/'5 Heat supply and fuel mix'!$N18</f>
        <v>0.52558816395828278</v>
      </c>
      <c r="F14" s="56">
        <f>'5 Heat supply and fuel mix'!E18/'5 Heat supply and fuel mix'!$N18</f>
        <v>4.1717196216347315E-3</v>
      </c>
      <c r="G14" s="56">
        <f>'5 Heat supply and fuel mix'!F18/'5 Heat supply and fuel mix'!$N18</f>
        <v>3.3349502789231144E-3</v>
      </c>
      <c r="H14" s="56">
        <f>'5 Heat supply and fuel mix'!G18/'5 Heat supply and fuel mix'!$N18</f>
        <v>0</v>
      </c>
      <c r="I14" s="56">
        <f>'5 Heat supply and fuel mix'!H18/'5 Heat supply and fuel mix'!$N18</f>
        <v>0.46665049721076884</v>
      </c>
      <c r="J14" s="56">
        <f>'5 Heat supply and fuel mix'!I18/'5 Heat supply and fuel mix'!$N18</f>
        <v>0</v>
      </c>
      <c r="K14" s="56">
        <f>'5 Heat supply and fuel mix'!J18/'5 Heat supply and fuel mix'!$N18</f>
        <v>0</v>
      </c>
      <c r="L14" s="56">
        <f>'5 Heat supply and fuel mix'!K18/'5 Heat supply and fuel mix'!$N18</f>
        <v>0</v>
      </c>
      <c r="M14" s="56">
        <f>'5 Heat supply and fuel mix'!L18/'5 Heat supply and fuel mix'!$N18</f>
        <v>0</v>
      </c>
      <c r="N14" s="56">
        <f>'5 Heat supply and fuel mix'!M18/'5 Heat supply and fuel mix'!$N18</f>
        <v>2.5466893039053647E-4</v>
      </c>
      <c r="O14" s="57">
        <f t="shared" si="1"/>
        <v>1.0000000000000002</v>
      </c>
    </row>
    <row r="15" spans="1:15" ht="0.15" customHeight="1" thickBot="1">
      <c r="A15" s="55" t="s">
        <v>43</v>
      </c>
      <c r="B15" s="56">
        <f>'5 Heat supply and fuel mix'!B19/'5 Heat supply and fuel mix'!N19</f>
        <v>0.39</v>
      </c>
      <c r="C15" s="57">
        <f t="shared" si="2"/>
        <v>0.61</v>
      </c>
      <c r="E15" s="56">
        <f>'5 Heat supply and fuel mix'!D19/'5 Heat supply and fuel mix'!$N19</f>
        <v>0.36099999999999999</v>
      </c>
      <c r="F15" s="56">
        <f>'5 Heat supply and fuel mix'!E19/'5 Heat supply and fuel mix'!$N19</f>
        <v>0.03</v>
      </c>
      <c r="G15" s="56">
        <f>'5 Heat supply and fuel mix'!F19/'5 Heat supply and fuel mix'!$N19</f>
        <v>0</v>
      </c>
      <c r="H15" s="56">
        <f>'5 Heat supply and fuel mix'!G19/'5 Heat supply and fuel mix'!$N19</f>
        <v>0</v>
      </c>
      <c r="I15" s="56">
        <f>'5 Heat supply and fuel mix'!H19/'5 Heat supply and fuel mix'!$N19</f>
        <v>0.61299999999999999</v>
      </c>
      <c r="J15" s="56">
        <f>'5 Heat supply and fuel mix'!I19/'5 Heat supply and fuel mix'!$N19</f>
        <v>0</v>
      </c>
      <c r="K15" s="56">
        <f>'5 Heat supply and fuel mix'!J19/'5 Heat supply and fuel mix'!$N19</f>
        <v>0</v>
      </c>
      <c r="L15" s="56">
        <f>'5 Heat supply and fuel mix'!K19/'5 Heat supply and fuel mix'!$N19</f>
        <v>0</v>
      </c>
      <c r="M15" s="56">
        <f>'5 Heat supply and fuel mix'!L19/'5 Heat supply and fuel mix'!$N19</f>
        <v>0</v>
      </c>
      <c r="N15" s="56">
        <f>'5 Heat supply and fuel mix'!M19/'5 Heat supply and fuel mix'!$N19</f>
        <v>0</v>
      </c>
      <c r="O15" s="57">
        <f t="shared" si="1"/>
        <v>1.004</v>
      </c>
    </row>
    <row r="16" spans="1:15" ht="0.15" customHeight="1" thickBot="1">
      <c r="A16" s="55" t="s">
        <v>46</v>
      </c>
      <c r="B16" s="56">
        <f>'5 Heat supply and fuel mix'!B21/'5 Heat supply and fuel mix'!N21</f>
        <v>0.63</v>
      </c>
      <c r="C16" s="57">
        <f t="shared" si="2"/>
        <v>0.37</v>
      </c>
      <c r="E16" s="56">
        <f>'5 Heat supply and fuel mix'!D21/'5 Heat supply and fuel mix'!$N21</f>
        <v>0.68478260869565222</v>
      </c>
      <c r="F16" s="56">
        <f>'5 Heat supply and fuel mix'!E21/'5 Heat supply and fuel mix'!$N21</f>
        <v>0</v>
      </c>
      <c r="G16" s="56">
        <f>'5 Heat supply and fuel mix'!F21/'5 Heat supply and fuel mix'!$N21</f>
        <v>0</v>
      </c>
      <c r="H16" s="56">
        <f>'5 Heat supply and fuel mix'!G21/'5 Heat supply and fuel mix'!$N21</f>
        <v>8.3333333333333343E-2</v>
      </c>
      <c r="I16" s="56">
        <f>'5 Heat supply and fuel mix'!H21/'5 Heat supply and fuel mix'!$N21</f>
        <v>0.23188405797101452</v>
      </c>
      <c r="J16" s="56">
        <f>'5 Heat supply and fuel mix'!I21/'5 Heat supply and fuel mix'!$N21</f>
        <v>0</v>
      </c>
      <c r="K16" s="56">
        <f>'5 Heat supply and fuel mix'!J21/'5 Heat supply and fuel mix'!$N21</f>
        <v>0</v>
      </c>
      <c r="L16" s="56">
        <f>'5 Heat supply and fuel mix'!K21/'5 Heat supply and fuel mix'!$N21</f>
        <v>0</v>
      </c>
      <c r="M16" s="56">
        <f>'5 Heat supply and fuel mix'!L21/'5 Heat supply and fuel mix'!$N21</f>
        <v>0</v>
      </c>
      <c r="N16" s="56">
        <f>'5 Heat supply and fuel mix'!M21/'5 Heat supply and fuel mix'!$N21</f>
        <v>0</v>
      </c>
      <c r="O16" s="57">
        <f t="shared" si="1"/>
        <v>1</v>
      </c>
    </row>
    <row r="17" spans="1:15" ht="0.15" customHeight="1" thickBot="1">
      <c r="A17" s="55" t="s">
        <v>47</v>
      </c>
      <c r="B17" s="56">
        <f>'5 Heat supply and fuel mix'!B22/'5 Heat supply and fuel mix'!N22</f>
        <v>0.66559999999999997</v>
      </c>
      <c r="C17" s="57">
        <f t="shared" si="2"/>
        <v>0.33440000000000003</v>
      </c>
      <c r="E17" s="56">
        <f>'5 Heat supply and fuel mix'!D22/'5 Heat supply and fuel mix'!$N22</f>
        <v>8.5999999999999993E-2</v>
      </c>
      <c r="F17" s="56">
        <f>'5 Heat supply and fuel mix'!E22/'5 Heat supply and fuel mix'!$N22</f>
        <v>4.7500000000000001E-2</v>
      </c>
      <c r="G17" s="56">
        <f>'5 Heat supply and fuel mix'!F22/'5 Heat supply and fuel mix'!$N22</f>
        <v>0.72499999999999998</v>
      </c>
      <c r="H17" s="56">
        <f>'5 Heat supply and fuel mix'!G22/'5 Heat supply and fuel mix'!$N22</f>
        <v>2.3999999999999998E-3</v>
      </c>
      <c r="I17" s="56">
        <f>'5 Heat supply and fuel mix'!H22/'5 Heat supply and fuel mix'!$N22</f>
        <v>9.4799999999999995E-2</v>
      </c>
      <c r="J17" s="56">
        <f>'5 Heat supply and fuel mix'!I22/'5 Heat supply and fuel mix'!$N22</f>
        <v>0</v>
      </c>
      <c r="K17" s="56">
        <f>'5 Heat supply and fuel mix'!J22/'5 Heat supply and fuel mix'!$N22</f>
        <v>0</v>
      </c>
      <c r="L17" s="56">
        <f>'5 Heat supply and fuel mix'!K22/'5 Heat supply and fuel mix'!$N22</f>
        <v>0</v>
      </c>
      <c r="M17" s="56">
        <f>'5 Heat supply and fuel mix'!L22/'5 Heat supply and fuel mix'!$N22</f>
        <v>0</v>
      </c>
      <c r="N17" s="56">
        <f>'5 Heat supply and fuel mix'!M22/'5 Heat supply and fuel mix'!$N22</f>
        <v>4.4299999999999999E-2</v>
      </c>
      <c r="O17" s="57">
        <f t="shared" si="1"/>
        <v>1</v>
      </c>
    </row>
    <row r="18" spans="1:15" ht="0.15" customHeight="1" thickBot="1">
      <c r="A18" s="55" t="s">
        <v>50</v>
      </c>
      <c r="B18" s="56">
        <f>'5 Heat supply and fuel mix'!B24/'5 Heat supply and fuel mix'!N24</f>
        <v>0.92</v>
      </c>
      <c r="C18" s="57">
        <f t="shared" si="2"/>
        <v>7.999999999999996E-2</v>
      </c>
      <c r="E18" s="56">
        <f>'5 Heat supply and fuel mix'!D24/'5 Heat supply and fuel mix'!$N24</f>
        <v>0.80179999999999996</v>
      </c>
      <c r="F18" s="56">
        <f>'5 Heat supply and fuel mix'!E24/'5 Heat supply and fuel mix'!$N24</f>
        <v>4.4999999999999997E-3</v>
      </c>
      <c r="G18" s="56">
        <f>'5 Heat supply and fuel mix'!F24/'5 Heat supply and fuel mix'!$N24</f>
        <v>0.17670000000000002</v>
      </c>
      <c r="H18" s="56">
        <f>'5 Heat supply and fuel mix'!G24/'5 Heat supply and fuel mix'!$N24</f>
        <v>1.06E-2</v>
      </c>
      <c r="I18" s="56">
        <f>'5 Heat supply and fuel mix'!H24/'5 Heat supply and fuel mix'!$N24</f>
        <v>6.4000000000000003E-3</v>
      </c>
      <c r="J18" s="56">
        <f>'5 Heat supply and fuel mix'!I24/'5 Heat supply and fuel mix'!$N24</f>
        <v>0</v>
      </c>
      <c r="K18" s="56">
        <f>'5 Heat supply and fuel mix'!J24/'5 Heat supply and fuel mix'!$N24</f>
        <v>0</v>
      </c>
      <c r="L18" s="56">
        <f>'5 Heat supply and fuel mix'!K24/'5 Heat supply and fuel mix'!$N24</f>
        <v>0</v>
      </c>
      <c r="M18" s="56">
        <f>'5 Heat supply and fuel mix'!L24/'5 Heat supply and fuel mix'!$N24</f>
        <v>0</v>
      </c>
      <c r="N18" s="56">
        <f>'5 Heat supply and fuel mix'!M24/'5 Heat supply and fuel mix'!$N24</f>
        <v>0</v>
      </c>
      <c r="O18" s="57">
        <f t="shared" si="1"/>
        <v>0.99999999999999989</v>
      </c>
    </row>
    <row r="19" spans="1:15" ht="0.15" customHeight="1" thickBot="1">
      <c r="A19" s="55" t="s">
        <v>51</v>
      </c>
      <c r="B19" s="56">
        <f>'5 Heat supply and fuel mix'!B25/'5 Heat supply and fuel mix'!N25</f>
        <v>0.39463299131807417</v>
      </c>
      <c r="C19" s="57">
        <f t="shared" si="2"/>
        <v>0.60536700868192583</v>
      </c>
      <c r="E19" s="56">
        <f>'5 Heat supply and fuel mix'!D25/'5 Heat supply and fuel mix'!$N25</f>
        <v>0.56807419100236778</v>
      </c>
      <c r="F19" s="56">
        <f>'5 Heat supply and fuel mix'!E25/'5 Heat supply and fuel mix'!$N25</f>
        <v>9.8332017890028933E-2</v>
      </c>
      <c r="G19" s="56">
        <f>'5 Heat supply and fuel mix'!F25/'5 Heat supply and fuel mix'!$N25</f>
        <v>0.27002867666403579</v>
      </c>
      <c r="H19" s="56">
        <f>'5 Heat supply and fuel mix'!G25/'5 Heat supply and fuel mix'!$N25</f>
        <v>0</v>
      </c>
      <c r="I19" s="56">
        <f>'5 Heat supply and fuel mix'!H25/'5 Heat supply and fuel mix'!$N25</f>
        <v>9.3544461983688501E-2</v>
      </c>
      <c r="J19" s="56">
        <f>'5 Heat supply and fuel mix'!I25/'5 Heat supply and fuel mix'!$N25</f>
        <v>0</v>
      </c>
      <c r="K19" s="56">
        <f>'5 Heat supply and fuel mix'!J25/'5 Heat supply and fuel mix'!$N25</f>
        <v>0</v>
      </c>
      <c r="L19" s="56">
        <f>'5 Heat supply and fuel mix'!K25/'5 Heat supply and fuel mix'!$N25</f>
        <v>0</v>
      </c>
      <c r="M19" s="56">
        <f>'5 Heat supply and fuel mix'!L25/'5 Heat supply and fuel mix'!$N25</f>
        <v>0</v>
      </c>
      <c r="N19" s="56">
        <f>'5 Heat supply and fuel mix'!M25/'5 Heat supply and fuel mix'!$N25</f>
        <v>0</v>
      </c>
      <c r="O19" s="57">
        <f t="shared" si="1"/>
        <v>1.0299793475401211</v>
      </c>
    </row>
    <row r="20" spans="1:15" ht="0.15" customHeight="1" thickBot="1">
      <c r="A20" s="55" t="s">
        <v>52</v>
      </c>
      <c r="B20" s="56">
        <f>'5 Heat supply and fuel mix'!B26/'5 Heat supply and fuel mix'!N26</f>
        <v>0.78900000000000003</v>
      </c>
      <c r="C20" s="57">
        <f t="shared" si="2"/>
        <v>0.21099999999999997</v>
      </c>
      <c r="E20" s="56">
        <f>'5 Heat supply and fuel mix'!D26/'5 Heat supply and fuel mix'!$N26</f>
        <v>0.30099999999999999</v>
      </c>
      <c r="F20" s="56">
        <f>'5 Heat supply and fuel mix'!E26/'5 Heat supply and fuel mix'!$N26</f>
        <v>1.2999999999999999E-2</v>
      </c>
      <c r="G20" s="56">
        <f>'5 Heat supply and fuel mix'!F26/'5 Heat supply and fuel mix'!$N26</f>
        <v>0.49000000000000005</v>
      </c>
      <c r="H20" s="56">
        <f>'5 Heat supply and fuel mix'!G26/'5 Heat supply and fuel mix'!$N26</f>
        <v>0</v>
      </c>
      <c r="I20" s="56">
        <f>'5 Heat supply and fuel mix'!H26/'5 Heat supply and fuel mix'!$N26</f>
        <v>0.17799999999999999</v>
      </c>
      <c r="J20" s="56">
        <f>'5 Heat supply and fuel mix'!I26/'5 Heat supply and fuel mix'!$N26</f>
        <v>7.0000000000000001E-3</v>
      </c>
      <c r="K20" s="56">
        <f>'5 Heat supply and fuel mix'!J26/'5 Heat supply and fuel mix'!$N26</f>
        <v>0</v>
      </c>
      <c r="L20" s="56">
        <f>'5 Heat supply and fuel mix'!K26/'5 Heat supply and fuel mix'!$N26</f>
        <v>0</v>
      </c>
      <c r="M20" s="56">
        <f>'5 Heat supply and fuel mix'!L26/'5 Heat supply and fuel mix'!$N26</f>
        <v>1.7000000000000001E-2</v>
      </c>
      <c r="N20" s="56">
        <f>'5 Heat supply and fuel mix'!M26/'5 Heat supply and fuel mix'!$N26</f>
        <v>0</v>
      </c>
      <c r="O20" s="57">
        <f t="shared" si="1"/>
        <v>1.006</v>
      </c>
    </row>
    <row r="21" spans="1:15" ht="0.15" customHeight="1" thickBot="1">
      <c r="A21" s="55" t="s">
        <v>54</v>
      </c>
      <c r="B21" s="56">
        <f>'5 Heat supply and fuel mix'!B28/'5 Heat supply and fuel mix'!N28</f>
        <v>0.47374795051423463</v>
      </c>
      <c r="C21" s="57">
        <f t="shared" si="2"/>
        <v>0.52625204948576543</v>
      </c>
      <c r="E21" s="56">
        <f>'5 Heat supply and fuel mix'!D28/'5 Heat supply and fuel mix'!$N28</f>
        <v>2.4899999999999995E-2</v>
      </c>
      <c r="F21" s="56">
        <f>'5 Heat supply and fuel mix'!E28/'5 Heat supply and fuel mix'!$N28</f>
        <v>3.2000000000000001E-2</v>
      </c>
      <c r="G21" s="56">
        <f>'5 Heat supply and fuel mix'!F28/'5 Heat supply and fuel mix'!$N28</f>
        <v>5.8999999999999997E-2</v>
      </c>
      <c r="H21" s="56">
        <f>'5 Heat supply and fuel mix'!G28/'5 Heat supply and fuel mix'!$N28</f>
        <v>0.23599999999999999</v>
      </c>
      <c r="I21" s="56">
        <f>'5 Heat supply and fuel mix'!H28/'5 Heat supply and fuel mix'!$N28</f>
        <v>0.39400000000000002</v>
      </c>
      <c r="J21" s="56">
        <f>'5 Heat supply and fuel mix'!I28/'5 Heat supply and fuel mix'!$N28</f>
        <v>0</v>
      </c>
      <c r="K21" s="56">
        <f>'5 Heat supply and fuel mix'!J28/'5 Heat supply and fuel mix'!$N28</f>
        <v>0</v>
      </c>
      <c r="L21" s="56">
        <f>'5 Heat supply and fuel mix'!K28/'5 Heat supply and fuel mix'!$N28</f>
        <v>0.104</v>
      </c>
      <c r="M21" s="56">
        <f>'5 Heat supply and fuel mix'!L28/'5 Heat supply and fuel mix'!$N28</f>
        <v>7.6999999999999999E-2</v>
      </c>
      <c r="N21" s="56">
        <f>'5 Heat supply and fuel mix'!M28/'5 Heat supply and fuel mix'!$N28</f>
        <v>7.3100000000000082E-2</v>
      </c>
      <c r="O21" s="57">
        <f t="shared" si="1"/>
        <v>1</v>
      </c>
    </row>
    <row r="22" spans="1:15" ht="0.15" customHeight="1" thickBot="1">
      <c r="A22" s="55"/>
      <c r="B22" s="56"/>
      <c r="C22" s="57"/>
      <c r="E22" s="56"/>
      <c r="F22" s="56"/>
      <c r="G22" s="56"/>
      <c r="H22" s="56"/>
      <c r="I22" s="56"/>
      <c r="J22" s="56"/>
      <c r="K22" s="56"/>
      <c r="L22" s="56"/>
      <c r="M22" s="56"/>
      <c r="N22" s="56"/>
      <c r="O22" s="57"/>
    </row>
    <row r="23" spans="1:15" ht="0.15" customHeight="1" thickBot="1">
      <c r="A23" s="60" t="s">
        <v>55</v>
      </c>
      <c r="B23" s="56">
        <f>'5 Heat supply and fuel mix'!B29/'5 Heat supply and fuel mix'!N29</f>
        <v>0.6248551394751265</v>
      </c>
      <c r="C23" s="57">
        <f t="shared" ref="C23:C28" si="3">1-B23</f>
        <v>0.3751448605248735</v>
      </c>
      <c r="D23" s="61"/>
      <c r="E23" s="62">
        <f>'5 Heat supply and fuel mix'!D29/'5 Heat supply and fuel mix'!$N29</f>
        <v>0.30391939097186338</v>
      </c>
      <c r="F23" s="62">
        <f>'5 Heat supply and fuel mix'!E29/'5 Heat supply and fuel mix'!$N29</f>
        <v>2.3649736428970593E-2</v>
      </c>
      <c r="G23" s="62">
        <f>'5 Heat supply and fuel mix'!F29/'5 Heat supply and fuel mix'!$N29</f>
        <v>0.26710108410902655</v>
      </c>
      <c r="H23" s="62">
        <f>'5 Heat supply and fuel mix'!G29/'5 Heat supply and fuel mix'!$N29</f>
        <v>7.1925763705276452E-2</v>
      </c>
      <c r="I23" s="62">
        <f>'5 Heat supply and fuel mix'!H29/'5 Heat supply and fuel mix'!$N29</f>
        <v>0.26860039828652604</v>
      </c>
      <c r="J23" s="62">
        <f>'5 Heat supply and fuel mix'!I29/'5 Heat supply and fuel mix'!$N29</f>
        <v>6.6704293508986594E-3</v>
      </c>
      <c r="K23" s="62">
        <f>'5 Heat supply and fuel mix'!J29/'5 Heat supply and fuel mix'!$N29</f>
        <v>1.2204850118242335E-3</v>
      </c>
      <c r="L23" s="62">
        <f>'5 Heat supply and fuel mix'!K29/'5 Heat supply and fuel mix'!$N29</f>
        <v>1.2344554768867238E-2</v>
      </c>
      <c r="M23" s="62">
        <f>'5 Heat supply and fuel mix'!L29/'5 Heat supply and fuel mix'!$N29</f>
        <v>1.698200513729347E-2</v>
      </c>
      <c r="N23" s="62">
        <f>'5 Heat supply and fuel mix'!M29/'5 Heat supply and fuel mix'!$N29</f>
        <v>2.8574220675751331E-2</v>
      </c>
      <c r="O23" s="57">
        <f t="shared" ref="O23:O27" si="4">SUM(E23:N23)</f>
        <v>1.000988068446298</v>
      </c>
    </row>
    <row r="24" spans="1:15" ht="0.15" customHeight="1" thickBot="1">
      <c r="A24" s="60"/>
      <c r="B24" s="56"/>
      <c r="C24" s="57"/>
      <c r="D24" s="61"/>
      <c r="E24" s="62"/>
      <c r="F24" s="62"/>
      <c r="G24" s="62"/>
      <c r="H24" s="62"/>
      <c r="I24" s="62"/>
      <c r="J24" s="62"/>
      <c r="K24" s="62"/>
      <c r="L24" s="62"/>
      <c r="M24" s="62"/>
      <c r="N24" s="62"/>
      <c r="O24" s="57"/>
    </row>
    <row r="25" spans="1:15" ht="0.15" customHeight="1" thickBot="1">
      <c r="A25" s="55" t="s">
        <v>56</v>
      </c>
      <c r="B25" s="56">
        <f>'5 Heat supply and fuel mix'!B30/'5 Heat supply and fuel mix'!N30</f>
        <v>0.37</v>
      </c>
      <c r="C25" s="57">
        <f t="shared" si="3"/>
        <v>0.63</v>
      </c>
      <c r="E25" s="56">
        <f>'5 Heat supply and fuel mix'!D30/'5 Heat supply and fuel mix'!$N30</f>
        <v>0.88</v>
      </c>
      <c r="F25" s="56">
        <f>'5 Heat supply and fuel mix'!E30/'5 Heat supply and fuel mix'!$N30</f>
        <v>0</v>
      </c>
      <c r="G25" s="56">
        <f>'5 Heat supply and fuel mix'!F30/'5 Heat supply and fuel mix'!$N30</f>
        <v>0</v>
      </c>
      <c r="H25" s="56">
        <f>'5 Heat supply and fuel mix'!G30/'5 Heat supply and fuel mix'!$N30</f>
        <v>0</v>
      </c>
      <c r="I25" s="56">
        <f>'5 Heat supply and fuel mix'!H30/'5 Heat supply and fuel mix'!$N30</f>
        <v>0.11</v>
      </c>
      <c r="J25" s="56">
        <f>'5 Heat supply and fuel mix'!I30/'5 Heat supply and fuel mix'!$N30</f>
        <v>0</v>
      </c>
      <c r="K25" s="56">
        <f>'5 Heat supply and fuel mix'!J30/'5 Heat supply and fuel mix'!$N30</f>
        <v>0</v>
      </c>
      <c r="L25" s="56">
        <f>'5 Heat supply and fuel mix'!K30/'5 Heat supply and fuel mix'!$N30</f>
        <v>0.01</v>
      </c>
      <c r="M25" s="56">
        <f>'5 Heat supply and fuel mix'!L30/'5 Heat supply and fuel mix'!$N30</f>
        <v>0</v>
      </c>
      <c r="N25" s="56">
        <f>'5 Heat supply and fuel mix'!M30/'5 Heat supply and fuel mix'!$N30</f>
        <v>0</v>
      </c>
      <c r="O25" s="57">
        <f t="shared" si="4"/>
        <v>1</v>
      </c>
    </row>
    <row r="26" spans="1:15" ht="0.15" customHeight="1" thickBot="1">
      <c r="A26" s="55" t="s">
        <v>58</v>
      </c>
      <c r="B26" s="56">
        <f>'5 Heat supply and fuel mix'!B31/'5 Heat supply and fuel mix'!N31</f>
        <v>0.29884375926474949</v>
      </c>
      <c r="C26" s="57">
        <f t="shared" si="3"/>
        <v>0.70115624073525051</v>
      </c>
      <c r="E26" s="56">
        <f>'5 Heat supply and fuel mix'!D31/'5 Heat supply and fuel mix'!$N31</f>
        <v>0</v>
      </c>
      <c r="F26" s="56">
        <f>'5 Heat supply and fuel mix'!E31/'5 Heat supply and fuel mix'!$N31</f>
        <v>2.3984583456863325E-2</v>
      </c>
      <c r="G26" s="56">
        <f>'5 Heat supply and fuel mix'!F31/'5 Heat supply and fuel mix'!$N31</f>
        <v>0</v>
      </c>
      <c r="H26" s="56">
        <f>'5 Heat supply and fuel mix'!G31/'5 Heat supply and fuel mix'!$N31</f>
        <v>0</v>
      </c>
      <c r="I26" s="56">
        <f>'5 Heat supply and fuel mix'!H31/'5 Heat supply and fuel mix'!$N31</f>
        <v>0</v>
      </c>
      <c r="J26" s="56">
        <f>'5 Heat supply and fuel mix'!I31/'5 Heat supply and fuel mix'!$N31</f>
        <v>0.87521494218796325</v>
      </c>
      <c r="K26" s="56">
        <f>'5 Heat supply and fuel mix'!J31/'5 Heat supply and fuel mix'!$N31</f>
        <v>0</v>
      </c>
      <c r="L26" s="56">
        <f>'5 Heat supply and fuel mix'!K31/'5 Heat supply and fuel mix'!$N31</f>
        <v>0</v>
      </c>
      <c r="M26" s="56">
        <f>'5 Heat supply and fuel mix'!L31/'5 Heat supply and fuel mix'!$N31</f>
        <v>0</v>
      </c>
      <c r="N26" s="56">
        <f>'5 Heat supply and fuel mix'!M31/'5 Heat supply and fuel mix'!$N31</f>
        <v>0.10075303883782984</v>
      </c>
      <c r="O26" s="57">
        <f t="shared" si="4"/>
        <v>0.99995256448265635</v>
      </c>
    </row>
    <row r="27" spans="1:15" ht="0.15" customHeight="1" thickBot="1">
      <c r="A27" s="55" t="s">
        <v>59</v>
      </c>
      <c r="B27" s="56">
        <f>'5 Heat supply and fuel mix'!B32/'5 Heat supply and fuel mix'!N32</f>
        <v>0.5</v>
      </c>
      <c r="C27" s="57">
        <f t="shared" si="3"/>
        <v>0.5</v>
      </c>
      <c r="E27" s="56">
        <f>'5 Heat supply and fuel mix'!D32/'5 Heat supply and fuel mix'!$N32</f>
        <v>4.9428483163422923E-2</v>
      </c>
      <c r="F27" s="56">
        <f>'5 Heat supply and fuel mix'!E32/'5 Heat supply and fuel mix'!$N32</f>
        <v>8.4491813407476055E-3</v>
      </c>
      <c r="G27" s="56">
        <f>'5 Heat supply and fuel mix'!F32/'5 Heat supply and fuel mix'!$N32</f>
        <v>0</v>
      </c>
      <c r="H27" s="56">
        <f>'5 Heat supply and fuel mix'!G32/'5 Heat supply and fuel mix'!$N32</f>
        <v>0.46336113685511277</v>
      </c>
      <c r="I27" s="56">
        <f>'5 Heat supply and fuel mix'!H32/'5 Heat supply and fuel mix'!$N32</f>
        <v>0.25908248378127896</v>
      </c>
      <c r="J27" s="56">
        <f>'5 Heat supply and fuel mix'!I32/'5 Heat supply and fuel mix'!$N32</f>
        <v>0</v>
      </c>
      <c r="K27" s="56">
        <f>'5 Heat supply and fuel mix'!J32/'5 Heat supply and fuel mix'!$N32</f>
        <v>0</v>
      </c>
      <c r="L27" s="56">
        <f>'5 Heat supply and fuel mix'!K32/'5 Heat supply and fuel mix'!$N32</f>
        <v>0.20698177324683348</v>
      </c>
      <c r="M27" s="56">
        <f>'5 Heat supply and fuel mix'!L32/'5 Heat supply and fuel mix'!$N32</f>
        <v>3.0583873957367932E-2</v>
      </c>
      <c r="N27" s="56">
        <f>'5 Heat supply and fuel mix'!M32/'5 Heat supply and fuel mix'!$N32</f>
        <v>0</v>
      </c>
      <c r="O27" s="57">
        <f t="shared" si="4"/>
        <v>1.0178869323447635</v>
      </c>
    </row>
    <row r="28" spans="1:15" ht="0.15" customHeight="1">
      <c r="A28" s="63" t="s">
        <v>60</v>
      </c>
      <c r="B28" s="56">
        <f>'5 Heat supply and fuel mix'!B33/'5 Heat supply and fuel mix'!N33</f>
        <v>0.34</v>
      </c>
      <c r="C28" s="57">
        <f t="shared" si="3"/>
        <v>0.65999999999999992</v>
      </c>
      <c r="E28" s="56">
        <f>'5 Heat supply and fuel mix'!D33/'5 Heat supply and fuel mix'!$N33</f>
        <v>0.75</v>
      </c>
      <c r="F28" s="56">
        <f>'5 Heat supply and fuel mix'!E33/'5 Heat supply and fuel mix'!$N33</f>
        <v>7.0000000000000007E-2</v>
      </c>
      <c r="G28" s="56">
        <f>'5 Heat supply and fuel mix'!F33/'5 Heat supply and fuel mix'!$N33</f>
        <v>0.1</v>
      </c>
      <c r="H28" s="56">
        <f>'5 Heat supply and fuel mix'!G33/'5 Heat supply and fuel mix'!$N33</f>
        <v>0</v>
      </c>
      <c r="I28" s="56">
        <f>'5 Heat supply and fuel mix'!H33/'5 Heat supply and fuel mix'!$N33</f>
        <v>0.08</v>
      </c>
      <c r="J28" s="56">
        <f>'5 Heat supply and fuel mix'!I33/'5 Heat supply and fuel mix'!$N33</f>
        <v>0</v>
      </c>
      <c r="K28" s="56">
        <f>'5 Heat supply and fuel mix'!J33/'5 Heat supply and fuel mix'!$N33</f>
        <v>0</v>
      </c>
      <c r="L28" s="56">
        <f>'5 Heat supply and fuel mix'!K33/'5 Heat supply and fuel mix'!$N33</f>
        <v>0</v>
      </c>
      <c r="M28" s="56">
        <f>'5 Heat supply and fuel mix'!L33/'5 Heat supply and fuel mix'!$N33</f>
        <v>0</v>
      </c>
      <c r="N28" s="56">
        <f>'5 Heat supply and fuel mix'!M33/'5 Heat supply and fuel mix'!$N33</f>
        <v>0</v>
      </c>
      <c r="O28" s="57">
        <f t="shared" ref="O28" si="5">SUM(E28:N28)</f>
        <v>1</v>
      </c>
    </row>
    <row r="55" spans="1:11">
      <c r="A55" s="96" t="s">
        <v>323</v>
      </c>
      <c r="J55" s="96"/>
      <c r="K55" s="96" t="s">
        <v>324</v>
      </c>
    </row>
  </sheetData>
  <autoFilter ref="A1:O1" xr:uid="{6EDF02F7-BB53-4691-BC59-5EC04AFF5BA6}">
    <sortState xmlns:xlrd2="http://schemas.microsoft.com/office/spreadsheetml/2017/richdata2" ref="A2:O21">
      <sortCondition ref="A1"/>
    </sortState>
  </autoFilter>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CD35-DEA0-4CC1-B60D-1C30C284F2BE}">
  <dimension ref="A1:Q28"/>
  <sheetViews>
    <sheetView zoomScaleNormal="100" workbookViewId="0">
      <selection activeCell="S32" sqref="S32"/>
    </sheetView>
  </sheetViews>
  <sheetFormatPr defaultColWidth="11.44140625" defaultRowHeight="14.4"/>
  <cols>
    <col min="1" max="16" width="0.109375" style="19" customWidth="1"/>
    <col min="17" max="16384" width="11.44140625" style="19"/>
  </cols>
  <sheetData>
    <row r="1" spans="1:16" ht="15" customHeight="1">
      <c r="A1" s="97" t="s">
        <v>21</v>
      </c>
      <c r="B1" s="97" t="s">
        <v>116</v>
      </c>
      <c r="C1" s="97" t="s">
        <v>117</v>
      </c>
      <c r="D1" s="97" t="s">
        <v>118</v>
      </c>
      <c r="E1" s="97" t="s">
        <v>119</v>
      </c>
      <c r="F1" s="97" t="s">
        <v>120</v>
      </c>
      <c r="G1" s="97" t="s">
        <v>320</v>
      </c>
      <c r="H1" s="97" t="s">
        <v>122</v>
      </c>
      <c r="I1" s="66"/>
      <c r="J1" s="97" t="s">
        <v>21</v>
      </c>
      <c r="K1" s="97" t="s">
        <v>116</v>
      </c>
      <c r="L1" s="97" t="s">
        <v>117</v>
      </c>
      <c r="M1" s="97" t="s">
        <v>118</v>
      </c>
      <c r="N1" s="97" t="s">
        <v>119</v>
      </c>
      <c r="O1" s="97" t="s">
        <v>120</v>
      </c>
      <c r="P1" s="97" t="s">
        <v>321</v>
      </c>
    </row>
    <row r="2" spans="1:16" ht="15" customHeight="1">
      <c r="A2" s="98" t="s">
        <v>27</v>
      </c>
      <c r="B2" s="99">
        <v>10575</v>
      </c>
      <c r="C2" s="99"/>
      <c r="D2" s="99"/>
      <c r="E2" s="99"/>
      <c r="F2" s="99"/>
      <c r="G2" s="99">
        <f t="shared" ref="G2:G20" si="0">SUM(B2:F2)</f>
        <v>10575</v>
      </c>
      <c r="H2" s="99">
        <v>22500</v>
      </c>
      <c r="J2" s="98" t="s">
        <v>27</v>
      </c>
      <c r="K2" s="100">
        <f t="shared" ref="K2:K20" si="1">B2/$G2</f>
        <v>1</v>
      </c>
      <c r="L2" s="100">
        <f t="shared" ref="L2:O2" si="2">C2/$G2</f>
        <v>0</v>
      </c>
      <c r="M2" s="100">
        <f t="shared" si="2"/>
        <v>0</v>
      </c>
      <c r="N2" s="100">
        <f t="shared" si="2"/>
        <v>0</v>
      </c>
      <c r="O2" s="100">
        <f t="shared" si="2"/>
        <v>0</v>
      </c>
      <c r="P2" s="101">
        <f t="shared" ref="P2:P20" si="3">G2/H2</f>
        <v>0.47</v>
      </c>
    </row>
    <row r="3" spans="1:16" ht="15" customHeight="1">
      <c r="A3" s="98" t="s">
        <v>29</v>
      </c>
      <c r="B3" s="99">
        <v>2317</v>
      </c>
      <c r="C3" s="99"/>
      <c r="D3" s="99"/>
      <c r="E3" s="99"/>
      <c r="F3" s="99">
        <v>56</v>
      </c>
      <c r="G3" s="99">
        <f t="shared" si="0"/>
        <v>2373</v>
      </c>
      <c r="H3" s="99">
        <v>7513</v>
      </c>
      <c r="J3" s="98" t="s">
        <v>29</v>
      </c>
      <c r="K3" s="100">
        <f t="shared" si="1"/>
        <v>0.97640117994100295</v>
      </c>
      <c r="L3" s="100">
        <f t="shared" ref="L3:O3" si="4">C3/$G3</f>
        <v>0</v>
      </c>
      <c r="M3" s="100">
        <f t="shared" si="4"/>
        <v>0</v>
      </c>
      <c r="N3" s="100">
        <f t="shared" si="4"/>
        <v>0</v>
      </c>
      <c r="O3" s="100">
        <f t="shared" si="4"/>
        <v>2.359882005899705E-2</v>
      </c>
      <c r="P3" s="101">
        <f t="shared" si="3"/>
        <v>0.31585252229468919</v>
      </c>
    </row>
    <row r="4" spans="1:16" ht="15" customHeight="1">
      <c r="A4" s="98" t="s">
        <v>31</v>
      </c>
      <c r="B4" s="99">
        <v>9.84</v>
      </c>
      <c r="C4" s="99">
        <v>4.3159999999999998</v>
      </c>
      <c r="D4" s="99"/>
      <c r="E4" s="99"/>
      <c r="F4" s="99"/>
      <c r="G4" s="99">
        <f t="shared" si="0"/>
        <v>14.155999999999999</v>
      </c>
      <c r="H4" s="99">
        <v>2463</v>
      </c>
      <c r="J4" s="98" t="s">
        <v>31</v>
      </c>
      <c r="K4" s="100">
        <f t="shared" si="1"/>
        <v>0.69511161345012717</v>
      </c>
      <c r="L4" s="100">
        <f t="shared" ref="L4:L20" si="5">C4/$G4</f>
        <v>0.30488838654987288</v>
      </c>
      <c r="M4" s="100">
        <f t="shared" ref="M4:M20" si="6">D4/$G4</f>
        <v>0</v>
      </c>
      <c r="N4" s="100">
        <f t="shared" ref="N4:N20" si="7">E4/$G4</f>
        <v>0</v>
      </c>
      <c r="O4" s="100">
        <f t="shared" ref="O4:O20" si="8">F4/$G4</f>
        <v>0</v>
      </c>
      <c r="P4" s="101">
        <f t="shared" si="3"/>
        <v>5.7474624441737716E-3</v>
      </c>
    </row>
    <row r="5" spans="1:16" ht="15" customHeight="1">
      <c r="A5" s="98" t="s">
        <v>32</v>
      </c>
      <c r="B5" s="99">
        <v>1475.8333333333333</v>
      </c>
      <c r="C5" s="99"/>
      <c r="D5" s="99">
        <v>0.27777777777777779</v>
      </c>
      <c r="E5" s="99">
        <v>23.888888888888889</v>
      </c>
      <c r="F5" s="99">
        <v>150</v>
      </c>
      <c r="G5" s="99">
        <f t="shared" si="0"/>
        <v>1650</v>
      </c>
      <c r="H5" s="99">
        <v>24597.222222222223</v>
      </c>
      <c r="J5" s="98" t="s">
        <v>32</v>
      </c>
      <c r="K5" s="100">
        <f t="shared" si="1"/>
        <v>0.89444444444444438</v>
      </c>
      <c r="L5" s="100">
        <f t="shared" si="5"/>
        <v>0</v>
      </c>
      <c r="M5" s="100">
        <f t="shared" si="6"/>
        <v>1.6835016835016836E-4</v>
      </c>
      <c r="N5" s="100">
        <f t="shared" si="7"/>
        <v>1.4478114478114479E-2</v>
      </c>
      <c r="O5" s="100">
        <f t="shared" si="8"/>
        <v>9.0909090909090912E-2</v>
      </c>
      <c r="P5" s="101">
        <f t="shared" si="3"/>
        <v>6.70807453416149E-2</v>
      </c>
    </row>
    <row r="6" spans="1:16" ht="15" customHeight="1">
      <c r="A6" s="98" t="s">
        <v>33</v>
      </c>
      <c r="B6" s="99">
        <v>21216.944444444445</v>
      </c>
      <c r="C6" s="99">
        <v>15.277777777777777</v>
      </c>
      <c r="D6" s="99">
        <v>592.77777777777771</v>
      </c>
      <c r="E6" s="99">
        <v>379.72222222222223</v>
      </c>
      <c r="F6" s="99">
        <v>1126.3888888888889</v>
      </c>
      <c r="G6" s="99">
        <f t="shared" si="0"/>
        <v>23331.111111111113</v>
      </c>
      <c r="H6" s="99">
        <v>37481.388888888891</v>
      </c>
      <c r="J6" s="98" t="s">
        <v>33</v>
      </c>
      <c r="K6" s="100">
        <f t="shared" si="1"/>
        <v>0.9093842270692446</v>
      </c>
      <c r="L6" s="100">
        <f t="shared" si="5"/>
        <v>6.5482426897799778E-4</v>
      </c>
      <c r="M6" s="100">
        <f t="shared" si="6"/>
        <v>2.5407181636346313E-2</v>
      </c>
      <c r="N6" s="100">
        <f t="shared" si="7"/>
        <v>1.6275359558053148E-2</v>
      </c>
      <c r="O6" s="100">
        <f t="shared" si="8"/>
        <v>4.827840746737784E-2</v>
      </c>
      <c r="P6" s="101">
        <f t="shared" si="3"/>
        <v>0.62247189345823484</v>
      </c>
    </row>
    <row r="7" spans="1:16" ht="15" customHeight="1">
      <c r="A7" s="98" t="s">
        <v>34</v>
      </c>
      <c r="B7" s="99">
        <v>2449</v>
      </c>
      <c r="C7" s="99"/>
      <c r="D7" s="99"/>
      <c r="E7" s="99">
        <v>12</v>
      </c>
      <c r="F7" s="99"/>
      <c r="G7" s="99">
        <f t="shared" si="0"/>
        <v>2461</v>
      </c>
      <c r="H7" s="99">
        <v>5331</v>
      </c>
      <c r="J7" s="98" t="s">
        <v>34</v>
      </c>
      <c r="K7" s="100">
        <f t="shared" si="1"/>
        <v>0.9951239333604226</v>
      </c>
      <c r="L7" s="100">
        <f t="shared" si="5"/>
        <v>0</v>
      </c>
      <c r="M7" s="100">
        <f t="shared" si="6"/>
        <v>0</v>
      </c>
      <c r="N7" s="100">
        <f t="shared" si="7"/>
        <v>4.8760666395774076E-3</v>
      </c>
      <c r="O7" s="100">
        <f t="shared" si="8"/>
        <v>0</v>
      </c>
      <c r="P7" s="101">
        <f t="shared" si="3"/>
        <v>0.46163946726692928</v>
      </c>
    </row>
    <row r="8" spans="1:16" ht="15" customHeight="1">
      <c r="A8" s="98" t="s">
        <v>35</v>
      </c>
      <c r="B8" s="99">
        <v>13504.4</v>
      </c>
      <c r="C8" s="99"/>
      <c r="D8" s="99"/>
      <c r="E8" s="99"/>
      <c r="F8" s="99"/>
      <c r="G8" s="99">
        <f t="shared" si="0"/>
        <v>13504.4</v>
      </c>
      <c r="H8" s="99">
        <v>37100</v>
      </c>
      <c r="J8" s="98" t="s">
        <v>35</v>
      </c>
      <c r="K8" s="100">
        <f t="shared" si="1"/>
        <v>1</v>
      </c>
      <c r="L8" s="100">
        <f t="shared" si="5"/>
        <v>0</v>
      </c>
      <c r="M8" s="100">
        <f t="shared" si="6"/>
        <v>0</v>
      </c>
      <c r="N8" s="100">
        <f t="shared" si="7"/>
        <v>0</v>
      </c>
      <c r="O8" s="100">
        <f t="shared" si="8"/>
        <v>0</v>
      </c>
      <c r="P8" s="101">
        <f t="shared" si="3"/>
        <v>0.36399999999999999</v>
      </c>
    </row>
    <row r="9" spans="1:16" ht="15" customHeight="1">
      <c r="A9" s="98" t="s">
        <v>36</v>
      </c>
      <c r="B9" s="99">
        <v>16177</v>
      </c>
      <c r="C9" s="99">
        <v>1680</v>
      </c>
      <c r="D9" s="99"/>
      <c r="E9" s="99">
        <v>275</v>
      </c>
      <c r="F9" s="99">
        <v>856</v>
      </c>
      <c r="G9" s="99">
        <f t="shared" si="0"/>
        <v>18988</v>
      </c>
      <c r="H9" s="99">
        <v>33460</v>
      </c>
      <c r="J9" s="98" t="s">
        <v>36</v>
      </c>
      <c r="K9" s="100">
        <f t="shared" si="1"/>
        <v>0.85195913208342111</v>
      </c>
      <c r="L9" s="100">
        <f t="shared" si="5"/>
        <v>8.8476932799662941E-2</v>
      </c>
      <c r="M9" s="100">
        <f t="shared" si="6"/>
        <v>0</v>
      </c>
      <c r="N9" s="100">
        <f t="shared" si="7"/>
        <v>1.4482831261849589E-2</v>
      </c>
      <c r="O9" s="100">
        <f t="shared" si="8"/>
        <v>4.5081103855066355E-2</v>
      </c>
      <c r="P9" s="101">
        <f t="shared" si="3"/>
        <v>0.56748356246264198</v>
      </c>
    </row>
    <row r="10" spans="1:16" ht="15" customHeight="1">
      <c r="A10" s="98" t="s">
        <v>37</v>
      </c>
      <c r="B10" s="99">
        <v>26268</v>
      </c>
      <c r="C10" s="99">
        <v>912</v>
      </c>
      <c r="D10" s="99">
        <v>32</v>
      </c>
      <c r="E10" s="99"/>
      <c r="F10" s="99">
        <v>2300</v>
      </c>
      <c r="G10" s="99">
        <f t="shared" si="0"/>
        <v>29512</v>
      </c>
      <c r="H10" s="99">
        <v>137119</v>
      </c>
      <c r="J10" s="98" t="s">
        <v>37</v>
      </c>
      <c r="K10" s="100">
        <f t="shared" si="1"/>
        <v>0.89007861208999728</v>
      </c>
      <c r="L10" s="100">
        <f t="shared" si="5"/>
        <v>3.0902683654106804E-2</v>
      </c>
      <c r="M10" s="100">
        <f t="shared" si="6"/>
        <v>1.0843046896177825E-3</v>
      </c>
      <c r="N10" s="100">
        <f t="shared" si="7"/>
        <v>0</v>
      </c>
      <c r="O10" s="100">
        <f t="shared" si="8"/>
        <v>7.7934399566278123E-2</v>
      </c>
      <c r="P10" s="101">
        <f t="shared" si="3"/>
        <v>0.21522910756350325</v>
      </c>
    </row>
    <row r="11" spans="1:16" ht="15" customHeight="1">
      <c r="A11" s="98" t="s">
        <v>39</v>
      </c>
      <c r="B11" s="99">
        <v>1472.5080555555555</v>
      </c>
      <c r="C11" s="99">
        <v>636.76250000000005</v>
      </c>
      <c r="D11" s="99">
        <v>0.12666666666666668</v>
      </c>
      <c r="E11" s="99"/>
      <c r="F11" s="99"/>
      <c r="G11" s="99">
        <f t="shared" si="0"/>
        <v>2109.3972222222224</v>
      </c>
      <c r="H11" s="99">
        <v>9435.9380555555545</v>
      </c>
      <c r="J11" s="98" t="s">
        <v>39</v>
      </c>
      <c r="K11" s="100">
        <f t="shared" si="1"/>
        <v>0.69807053884535197</v>
      </c>
      <c r="L11" s="100">
        <f t="shared" si="5"/>
        <v>0.30186941240454424</v>
      </c>
      <c r="M11" s="100">
        <f t="shared" si="6"/>
        <v>6.0048750103702613E-5</v>
      </c>
      <c r="N11" s="100">
        <f t="shared" si="7"/>
        <v>0</v>
      </c>
      <c r="O11" s="100">
        <f t="shared" si="8"/>
        <v>0</v>
      </c>
      <c r="P11" s="101">
        <f t="shared" si="3"/>
        <v>0.22354928675907132</v>
      </c>
    </row>
    <row r="12" spans="1:16" ht="15" customHeight="1">
      <c r="A12" s="98" t="s">
        <v>41</v>
      </c>
      <c r="B12" s="99">
        <v>1078.1759999999999</v>
      </c>
      <c r="C12" s="99">
        <v>157.23400000000001</v>
      </c>
      <c r="D12" s="99">
        <v>1</v>
      </c>
      <c r="E12" s="99">
        <v>61</v>
      </c>
      <c r="F12" s="99">
        <v>51</v>
      </c>
      <c r="G12" s="99">
        <f t="shared" si="0"/>
        <v>1348.4099999999999</v>
      </c>
      <c r="H12" s="99">
        <v>11231</v>
      </c>
      <c r="J12" s="98" t="s">
        <v>41</v>
      </c>
      <c r="K12" s="100">
        <f t="shared" si="1"/>
        <v>0.79959062896300093</v>
      </c>
      <c r="L12" s="100">
        <f t="shared" si="5"/>
        <v>0.11660696672377098</v>
      </c>
      <c r="M12" s="100">
        <f t="shared" si="6"/>
        <v>7.4161419746219626E-4</v>
      </c>
      <c r="N12" s="100">
        <f t="shared" si="7"/>
        <v>4.5238466045193972E-2</v>
      </c>
      <c r="O12" s="100">
        <f t="shared" si="8"/>
        <v>3.7822324070572011E-2</v>
      </c>
      <c r="P12" s="101">
        <f t="shared" si="3"/>
        <v>0.12006143709375834</v>
      </c>
    </row>
    <row r="13" spans="1:16" ht="15" customHeight="1">
      <c r="A13" s="98" t="s">
        <v>42</v>
      </c>
      <c r="B13" s="99">
        <v>3848</v>
      </c>
      <c r="C13" s="99"/>
      <c r="D13" s="99"/>
      <c r="E13" s="99"/>
      <c r="F13" s="99"/>
      <c r="G13" s="99">
        <f t="shared" si="0"/>
        <v>3848</v>
      </c>
      <c r="H13" s="99">
        <v>8246</v>
      </c>
      <c r="J13" s="98" t="s">
        <v>42</v>
      </c>
      <c r="K13" s="100">
        <f t="shared" si="1"/>
        <v>1</v>
      </c>
      <c r="L13" s="100">
        <f t="shared" si="5"/>
        <v>0</v>
      </c>
      <c r="M13" s="100">
        <f t="shared" si="6"/>
        <v>0</v>
      </c>
      <c r="N13" s="100">
        <f t="shared" si="7"/>
        <v>0</v>
      </c>
      <c r="O13" s="100">
        <f t="shared" si="8"/>
        <v>0</v>
      </c>
      <c r="P13" s="101">
        <f t="shared" si="3"/>
        <v>0.46665049721076884</v>
      </c>
    </row>
    <row r="14" spans="1:16" ht="15" customHeight="1">
      <c r="A14" s="98" t="s">
        <v>43</v>
      </c>
      <c r="B14" s="99">
        <v>5517</v>
      </c>
      <c r="C14" s="99"/>
      <c r="D14" s="99"/>
      <c r="E14" s="99"/>
      <c r="F14" s="99"/>
      <c r="G14" s="99">
        <f t="shared" si="0"/>
        <v>5517</v>
      </c>
      <c r="H14" s="99">
        <v>9000</v>
      </c>
      <c r="J14" s="98" t="s">
        <v>43</v>
      </c>
      <c r="K14" s="100">
        <f t="shared" si="1"/>
        <v>1</v>
      </c>
      <c r="L14" s="100">
        <f t="shared" si="5"/>
        <v>0</v>
      </c>
      <c r="M14" s="100">
        <f t="shared" si="6"/>
        <v>0</v>
      </c>
      <c r="N14" s="100">
        <f t="shared" si="7"/>
        <v>0</v>
      </c>
      <c r="O14" s="100">
        <f t="shared" si="8"/>
        <v>0</v>
      </c>
      <c r="P14" s="101">
        <f t="shared" si="3"/>
        <v>0.61299999999999999</v>
      </c>
    </row>
    <row r="15" spans="1:16" ht="15" customHeight="1">
      <c r="A15" s="98" t="s">
        <v>46</v>
      </c>
      <c r="B15" s="99">
        <v>1777.7777777777778</v>
      </c>
      <c r="C15" s="99"/>
      <c r="D15" s="99"/>
      <c r="E15" s="99"/>
      <c r="F15" s="99"/>
      <c r="G15" s="99">
        <f t="shared" si="0"/>
        <v>1777.7777777777778</v>
      </c>
      <c r="H15" s="99">
        <v>7666.6666666666661</v>
      </c>
      <c r="J15" s="98" t="s">
        <v>46</v>
      </c>
      <c r="K15" s="100">
        <f t="shared" si="1"/>
        <v>1</v>
      </c>
      <c r="L15" s="100">
        <f t="shared" si="5"/>
        <v>0</v>
      </c>
      <c r="M15" s="100">
        <f t="shared" si="6"/>
        <v>0</v>
      </c>
      <c r="N15" s="100">
        <f t="shared" si="7"/>
        <v>0</v>
      </c>
      <c r="O15" s="100">
        <f t="shared" si="8"/>
        <v>0</v>
      </c>
      <c r="P15" s="101">
        <f t="shared" si="3"/>
        <v>0.23188405797101452</v>
      </c>
    </row>
    <row r="16" spans="1:16" ht="15" customHeight="1">
      <c r="A16" s="98" t="s">
        <v>47</v>
      </c>
      <c r="B16" s="99">
        <v>7036.8460000000005</v>
      </c>
      <c r="C16" s="99"/>
      <c r="D16" s="99"/>
      <c r="E16" s="99"/>
      <c r="F16" s="99"/>
      <c r="G16" s="99">
        <f t="shared" si="0"/>
        <v>7036.8460000000005</v>
      </c>
      <c r="H16" s="99">
        <v>74228.333333333343</v>
      </c>
      <c r="J16" s="98" t="s">
        <v>47</v>
      </c>
      <c r="K16" s="100">
        <f t="shared" si="1"/>
        <v>1</v>
      </c>
      <c r="L16" s="100">
        <f t="shared" si="5"/>
        <v>0</v>
      </c>
      <c r="M16" s="100">
        <f t="shared" si="6"/>
        <v>0</v>
      </c>
      <c r="N16" s="100">
        <f t="shared" si="7"/>
        <v>0</v>
      </c>
      <c r="O16" s="100">
        <f t="shared" si="8"/>
        <v>0</v>
      </c>
      <c r="P16" s="101">
        <f t="shared" si="3"/>
        <v>9.4799999999999995E-2</v>
      </c>
    </row>
    <row r="17" spans="1:17" ht="15" customHeight="1">
      <c r="A17" s="98" t="s">
        <v>50</v>
      </c>
      <c r="B17" s="99">
        <v>90.112000000000009</v>
      </c>
      <c r="C17" s="99"/>
      <c r="D17" s="99"/>
      <c r="E17" s="99"/>
      <c r="F17" s="99"/>
      <c r="G17" s="99">
        <f t="shared" si="0"/>
        <v>90.112000000000009</v>
      </c>
      <c r="H17" s="99">
        <v>14080</v>
      </c>
      <c r="J17" s="98" t="s">
        <v>50</v>
      </c>
      <c r="K17" s="100">
        <f t="shared" si="1"/>
        <v>1</v>
      </c>
      <c r="L17" s="100">
        <f t="shared" si="5"/>
        <v>0</v>
      </c>
      <c r="M17" s="100">
        <f t="shared" si="6"/>
        <v>0</v>
      </c>
      <c r="N17" s="100">
        <f t="shared" si="7"/>
        <v>0</v>
      </c>
      <c r="O17" s="100">
        <f t="shared" si="8"/>
        <v>0</v>
      </c>
      <c r="P17" s="101">
        <f t="shared" si="3"/>
        <v>6.4000000000000003E-3</v>
      </c>
    </row>
    <row r="18" spans="1:17" ht="15" customHeight="1">
      <c r="A18" s="98" t="s">
        <v>51</v>
      </c>
      <c r="B18" s="99">
        <v>1422.25</v>
      </c>
      <c r="C18" s="99"/>
      <c r="D18" s="99"/>
      <c r="E18" s="99"/>
      <c r="F18" s="99"/>
      <c r="G18" s="99">
        <f t="shared" si="0"/>
        <v>1422.25</v>
      </c>
      <c r="H18" s="99">
        <v>15204</v>
      </c>
      <c r="J18" s="98" t="s">
        <v>51</v>
      </c>
      <c r="K18" s="100">
        <f t="shared" si="1"/>
        <v>1</v>
      </c>
      <c r="L18" s="100">
        <f t="shared" si="5"/>
        <v>0</v>
      </c>
      <c r="M18" s="100">
        <f t="shared" si="6"/>
        <v>0</v>
      </c>
      <c r="N18" s="100">
        <f t="shared" si="7"/>
        <v>0</v>
      </c>
      <c r="O18" s="100">
        <f t="shared" si="8"/>
        <v>0</v>
      </c>
      <c r="P18" s="101">
        <f t="shared" si="3"/>
        <v>9.3544461983688501E-2</v>
      </c>
    </row>
    <row r="19" spans="1:17" ht="15" customHeight="1">
      <c r="A19" s="98" t="s">
        <v>52</v>
      </c>
      <c r="B19" s="99">
        <v>425.70479999999998</v>
      </c>
      <c r="C19" s="99">
        <v>16.741199999999999</v>
      </c>
      <c r="D19" s="99"/>
      <c r="E19" s="99"/>
      <c r="F19" s="99">
        <v>40.657200000000003</v>
      </c>
      <c r="G19" s="99">
        <f t="shared" si="0"/>
        <v>483.10319999999996</v>
      </c>
      <c r="H19" s="99">
        <v>2391.6</v>
      </c>
      <c r="J19" s="98" t="s">
        <v>52</v>
      </c>
      <c r="K19" s="100">
        <f t="shared" si="1"/>
        <v>0.88118811881188119</v>
      </c>
      <c r="L19" s="100">
        <f t="shared" si="5"/>
        <v>3.4653465346534656E-2</v>
      </c>
      <c r="M19" s="100">
        <f t="shared" si="6"/>
        <v>0</v>
      </c>
      <c r="N19" s="100">
        <f t="shared" si="7"/>
        <v>0</v>
      </c>
      <c r="O19" s="100">
        <f t="shared" si="8"/>
        <v>8.4158415841584178E-2</v>
      </c>
      <c r="P19" s="101">
        <f t="shared" si="3"/>
        <v>0.20199999999999999</v>
      </c>
    </row>
    <row r="20" spans="1:17" ht="15" customHeight="1">
      <c r="A20" s="98" t="s">
        <v>54</v>
      </c>
      <c r="B20" s="99">
        <v>21146.768</v>
      </c>
      <c r="C20" s="99"/>
      <c r="D20" s="99"/>
      <c r="E20" s="99">
        <v>5581.8879999999999</v>
      </c>
      <c r="F20" s="99">
        <v>4132.7439999999997</v>
      </c>
      <c r="G20" s="99">
        <f t="shared" si="0"/>
        <v>30861.399999999998</v>
      </c>
      <c r="H20" s="99">
        <v>53672</v>
      </c>
      <c r="J20" s="98" t="s">
        <v>54</v>
      </c>
      <c r="K20" s="100">
        <f t="shared" si="1"/>
        <v>0.68521739130434789</v>
      </c>
      <c r="L20" s="100">
        <f t="shared" si="5"/>
        <v>0</v>
      </c>
      <c r="M20" s="100">
        <f t="shared" si="6"/>
        <v>0</v>
      </c>
      <c r="N20" s="100">
        <f t="shared" si="7"/>
        <v>0.18086956521739131</v>
      </c>
      <c r="O20" s="100">
        <f t="shared" si="8"/>
        <v>0.13391304347826086</v>
      </c>
      <c r="P20" s="101">
        <f t="shared" si="3"/>
        <v>0.57499999999999996</v>
      </c>
    </row>
    <row r="21" spans="1:17" ht="15" customHeight="1">
      <c r="A21" s="98"/>
      <c r="B21" s="99"/>
      <c r="C21" s="99"/>
      <c r="D21" s="99"/>
      <c r="E21" s="99"/>
      <c r="F21" s="99"/>
      <c r="G21" s="99"/>
      <c r="H21" s="99"/>
      <c r="J21" s="98"/>
      <c r="K21" s="100"/>
      <c r="L21" s="100"/>
      <c r="M21" s="100"/>
      <c r="N21" s="100"/>
      <c r="O21" s="100"/>
      <c r="P21" s="101"/>
    </row>
    <row r="22" spans="1:17" ht="15" customHeight="1">
      <c r="A22" s="102" t="s">
        <v>55</v>
      </c>
      <c r="B22" s="103">
        <v>137808.16041111114</v>
      </c>
      <c r="C22" s="103">
        <v>3422.3314777777778</v>
      </c>
      <c r="D22" s="103">
        <v>626.18222222222221</v>
      </c>
      <c r="E22" s="103">
        <v>6333.4991111111112</v>
      </c>
      <c r="F22" s="103">
        <v>8712.7900888888871</v>
      </c>
      <c r="G22" s="99">
        <f>SUM(B22:F22)</f>
        <v>156902.96331111112</v>
      </c>
      <c r="H22" s="103">
        <v>513060.14916666667</v>
      </c>
      <c r="J22" s="102" t="s">
        <v>55</v>
      </c>
      <c r="K22" s="100">
        <f>B22/$G22</f>
        <v>0.87830183384020399</v>
      </c>
      <c r="L22" s="100">
        <f>C22/$G22</f>
        <v>2.1811770826736354E-2</v>
      </c>
      <c r="M22" s="104">
        <f>D22/$G22</f>
        <v>3.9908884383567213E-3</v>
      </c>
      <c r="N22" s="100">
        <f>E22/$G22</f>
        <v>4.036570742486801E-2</v>
      </c>
      <c r="O22" s="100">
        <f>F22/$G22</f>
        <v>5.5529799469835057E-2</v>
      </c>
      <c r="P22" s="101">
        <f>G22/H22</f>
        <v>0.3058178725554096</v>
      </c>
    </row>
    <row r="23" spans="1:17" ht="15" customHeight="1">
      <c r="A23" s="102"/>
      <c r="B23" s="103"/>
      <c r="C23" s="103"/>
      <c r="D23" s="103"/>
      <c r="E23" s="103"/>
      <c r="F23" s="103"/>
      <c r="G23" s="99"/>
      <c r="H23" s="103"/>
      <c r="J23" s="102"/>
      <c r="K23" s="100"/>
      <c r="L23" s="100"/>
      <c r="M23" s="100"/>
      <c r="N23" s="100"/>
      <c r="O23" s="100"/>
      <c r="P23" s="101"/>
    </row>
    <row r="24" spans="1:17" ht="15" customHeight="1">
      <c r="A24" s="98" t="s">
        <v>56</v>
      </c>
      <c r="B24" s="99">
        <v>1452.0000000000002</v>
      </c>
      <c r="C24" s="99"/>
      <c r="D24" s="99"/>
      <c r="E24" s="99">
        <v>132.00000000000003</v>
      </c>
      <c r="F24" s="99"/>
      <c r="G24" s="99">
        <f>SUM(B24:F24)</f>
        <v>1584.0000000000002</v>
      </c>
      <c r="H24" s="99">
        <v>13200.000000000002</v>
      </c>
      <c r="J24" s="98" t="s">
        <v>56</v>
      </c>
      <c r="K24" s="100">
        <f t="shared" ref="K24:O27" si="9">B24/$G24</f>
        <v>0.91666666666666663</v>
      </c>
      <c r="L24" s="100">
        <f t="shared" si="9"/>
        <v>0</v>
      </c>
      <c r="M24" s="100">
        <f t="shared" si="9"/>
        <v>0</v>
      </c>
      <c r="N24" s="100">
        <f t="shared" si="9"/>
        <v>8.3333333333333343E-2</v>
      </c>
      <c r="O24" s="100">
        <f t="shared" si="9"/>
        <v>0</v>
      </c>
      <c r="P24" s="101">
        <f>G24/H24</f>
        <v>0.12</v>
      </c>
    </row>
    <row r="25" spans="1:17" ht="15" customHeight="1">
      <c r="A25" s="98" t="s">
        <v>58</v>
      </c>
      <c r="B25" s="99"/>
      <c r="C25" s="99">
        <v>8200.2777777777774</v>
      </c>
      <c r="D25" s="99"/>
      <c r="E25" s="99"/>
      <c r="F25" s="99"/>
      <c r="G25" s="99">
        <f>SUM(B25:F25)</f>
        <v>8200.2777777777774</v>
      </c>
      <c r="H25" s="99">
        <v>9369.4444444444434</v>
      </c>
      <c r="J25" s="98" t="s">
        <v>58</v>
      </c>
      <c r="K25" s="100">
        <f t="shared" si="9"/>
        <v>0</v>
      </c>
      <c r="L25" s="100">
        <f t="shared" si="9"/>
        <v>1</v>
      </c>
      <c r="M25" s="100">
        <f t="shared" si="9"/>
        <v>0</v>
      </c>
      <c r="N25" s="100">
        <f t="shared" si="9"/>
        <v>0</v>
      </c>
      <c r="O25" s="100">
        <f t="shared" si="9"/>
        <v>0</v>
      </c>
      <c r="P25" s="101">
        <f>G25/H25</f>
        <v>0.87521494218796325</v>
      </c>
    </row>
    <row r="26" spans="1:17" ht="15" customHeight="1">
      <c r="A26" s="98" t="s">
        <v>59</v>
      </c>
      <c r="B26" s="99">
        <v>1677.3</v>
      </c>
      <c r="C26" s="99"/>
      <c r="D26" s="99"/>
      <c r="E26" s="99">
        <v>1340</v>
      </c>
      <c r="F26" s="99">
        <v>198</v>
      </c>
      <c r="G26" s="99">
        <f>SUM(B26:F26)</f>
        <v>3215.3</v>
      </c>
      <c r="H26" s="99">
        <v>6474</v>
      </c>
      <c r="J26" s="98" t="s">
        <v>59</v>
      </c>
      <c r="K26" s="100">
        <f t="shared" si="9"/>
        <v>0.52166205330762283</v>
      </c>
      <c r="L26" s="100">
        <f t="shared" si="9"/>
        <v>0</v>
      </c>
      <c r="M26" s="100">
        <f t="shared" si="9"/>
        <v>0</v>
      </c>
      <c r="N26" s="100">
        <f t="shared" si="9"/>
        <v>0.4167573787826952</v>
      </c>
      <c r="O26" s="100">
        <f t="shared" si="9"/>
        <v>6.1580567909681833E-2</v>
      </c>
      <c r="P26" s="101">
        <f>G26/H26</f>
        <v>0.49664813098548038</v>
      </c>
    </row>
    <row r="27" spans="1:17" ht="15" customHeight="1">
      <c r="A27" s="98" t="s">
        <v>60</v>
      </c>
      <c r="B27" s="99">
        <v>6180.4800000000005</v>
      </c>
      <c r="C27" s="99"/>
      <c r="D27" s="99"/>
      <c r="E27" s="99"/>
      <c r="F27" s="99"/>
      <c r="G27" s="99">
        <f>SUM(B27:F27)</f>
        <v>6180.4800000000005</v>
      </c>
      <c r="H27" s="99">
        <v>77256</v>
      </c>
      <c r="J27" s="98" t="s">
        <v>60</v>
      </c>
      <c r="K27" s="100">
        <f t="shared" si="9"/>
        <v>1</v>
      </c>
      <c r="L27" s="100">
        <f t="shared" si="9"/>
        <v>0</v>
      </c>
      <c r="M27" s="100">
        <f t="shared" si="9"/>
        <v>0</v>
      </c>
      <c r="N27" s="100">
        <f t="shared" si="9"/>
        <v>0</v>
      </c>
      <c r="O27" s="100">
        <f t="shared" si="9"/>
        <v>0</v>
      </c>
      <c r="P27" s="101">
        <f>G27/H27</f>
        <v>0.08</v>
      </c>
    </row>
    <row r="28" spans="1:17">
      <c r="Q28" s="96" t="s">
        <v>325</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F86C-861F-4E70-9452-1002AE546D2A}">
  <dimension ref="A1:P62"/>
  <sheetViews>
    <sheetView zoomScaleNormal="100" workbookViewId="0">
      <selection activeCell="G57" sqref="G57"/>
    </sheetView>
  </sheetViews>
  <sheetFormatPr defaultColWidth="11.44140625" defaultRowHeight="14.4"/>
  <cols>
    <col min="1" max="4" width="0.109375" style="66" customWidth="1"/>
    <col min="5" max="16384" width="11.44140625" style="19"/>
  </cols>
  <sheetData>
    <row r="1" spans="1:4" ht="15" customHeight="1">
      <c r="A1" s="97" t="s">
        <v>326</v>
      </c>
      <c r="B1" s="97" t="s">
        <v>322</v>
      </c>
      <c r="C1" s="97" t="s">
        <v>132</v>
      </c>
      <c r="D1" s="97" t="s">
        <v>133</v>
      </c>
    </row>
    <row r="2" spans="1:4" ht="15" customHeight="1">
      <c r="A2" s="97" t="s">
        <v>33</v>
      </c>
      <c r="B2" s="66">
        <f>'6 Trench length and size'!B8</f>
        <v>30800</v>
      </c>
      <c r="C2" s="105">
        <f>'6 Trench length and size'!H8</f>
        <v>5.3047830369572866</v>
      </c>
      <c r="D2" s="106">
        <v>1780</v>
      </c>
    </row>
    <row r="3" spans="1:4" ht="15" customHeight="1">
      <c r="A3" s="97" t="s">
        <v>37</v>
      </c>
      <c r="B3" s="66">
        <f>'6 Trench length and size'!B12</f>
        <v>28629</v>
      </c>
      <c r="C3" s="105">
        <f>'6 Trench length and size'!H12</f>
        <v>0.3448478847902352</v>
      </c>
      <c r="D3" s="106">
        <v>1323.6736714285714</v>
      </c>
    </row>
    <row r="4" spans="1:4" ht="15" customHeight="1">
      <c r="A4" s="97" t="s">
        <v>54</v>
      </c>
      <c r="B4" s="66">
        <f>'6 Trench length and size'!B27</f>
        <v>24000</v>
      </c>
      <c r="C4" s="105">
        <f>'6 Trench length and size'!H27</f>
        <v>2.3459986305232996</v>
      </c>
      <c r="D4" s="106">
        <v>1079.4553681073025</v>
      </c>
    </row>
    <row r="5" spans="1:4" ht="15" customHeight="1">
      <c r="A5" s="97" t="s">
        <v>47</v>
      </c>
      <c r="B5" s="66">
        <f>'6 Trench length and size'!B21</f>
        <v>21367</v>
      </c>
      <c r="C5" s="105">
        <f>'6 Trench length and size'!H21</f>
        <v>0.56269206504906721</v>
      </c>
      <c r="D5" s="106">
        <v>1000.5331090909091</v>
      </c>
    </row>
    <row r="6" spans="1:4" ht="15" customHeight="1">
      <c r="A6" s="97" t="s">
        <v>35</v>
      </c>
      <c r="B6" s="66">
        <f>'6 Trench length and size'!B10</f>
        <v>15140</v>
      </c>
      <c r="C6" s="105">
        <f>'6 Trench length and size'!H10</f>
        <v>2.7437880113861768</v>
      </c>
      <c r="D6" s="106">
        <v>927.35350977339556</v>
      </c>
    </row>
    <row r="7" spans="1:4" ht="15" customHeight="1">
      <c r="A7" s="97" t="s">
        <v>60</v>
      </c>
      <c r="B7" s="66">
        <f>'6 Trench length and size'!B32</f>
        <v>13682</v>
      </c>
      <c r="C7" s="105">
        <f>'6 Trench length and size'!H32</f>
        <v>0.32588943616125587</v>
      </c>
      <c r="D7" s="106">
        <v>851.54716555612504</v>
      </c>
    </row>
    <row r="8" spans="1:4" ht="15" customHeight="1">
      <c r="A8" s="97" t="s">
        <v>32</v>
      </c>
      <c r="B8" s="66">
        <f>'6 Trench length and size'!B7</f>
        <v>7517</v>
      </c>
      <c r="C8" s="105">
        <f>'6 Trench length and size'!H7</f>
        <v>0.70583485135871105</v>
      </c>
      <c r="D8" s="106">
        <v>764.18351476576026</v>
      </c>
    </row>
    <row r="9" spans="1:4" ht="15" customHeight="1">
      <c r="A9" s="97" t="s">
        <v>50</v>
      </c>
      <c r="B9" s="66">
        <f>'6 Trench length and size'!B23</f>
        <v>7250</v>
      </c>
      <c r="C9" s="105">
        <f>'6 Trench length and size'!H23</f>
        <v>0.37343303634847808</v>
      </c>
      <c r="D9" s="106">
        <v>573.94049729729727</v>
      </c>
    </row>
    <row r="10" spans="1:4" ht="15" customHeight="1">
      <c r="A10" s="97" t="s">
        <v>36</v>
      </c>
      <c r="B10" s="66">
        <f>'6 Trench length and size'!B11</f>
        <v>5781</v>
      </c>
      <c r="C10" s="105">
        <f>'6 Trench length and size'!H11</f>
        <v>8.6266994362860047E-2</v>
      </c>
      <c r="D10" s="106">
        <v>566.70480244778503</v>
      </c>
    </row>
    <row r="11" spans="1:4" ht="15" customHeight="1">
      <c r="A11" s="97" t="s">
        <v>27</v>
      </c>
      <c r="B11" s="66">
        <f>'6 Trench length and size'!B3</f>
        <v>5500</v>
      </c>
      <c r="C11" s="105">
        <f>'6 Trench length and size'!H3</f>
        <v>0.62085333468792248</v>
      </c>
      <c r="D11" s="106">
        <v>535.57125517241377</v>
      </c>
    </row>
    <row r="12" spans="1:4" ht="15" customHeight="1">
      <c r="A12" s="97" t="s">
        <v>46</v>
      </c>
      <c r="B12" s="66">
        <f>'6 Trench length and size'!B20</f>
        <v>4000</v>
      </c>
      <c r="C12" s="105">
        <f>'6 Trench length and size'!H20</f>
        <v>0.2314525097350372</v>
      </c>
      <c r="D12" s="106">
        <v>493.38124137931038</v>
      </c>
    </row>
    <row r="13" spans="1:4" ht="15" customHeight="1">
      <c r="A13" s="97" t="s">
        <v>41</v>
      </c>
      <c r="B13" s="66">
        <f>'6 Trench length and size'!B16</f>
        <v>4446</v>
      </c>
      <c r="C13" s="105">
        <f>'6 Trench length and size'!H16</f>
        <v>7.3658605715821654E-2</v>
      </c>
      <c r="D13" s="106">
        <v>429.1747362464634</v>
      </c>
    </row>
    <row r="14" spans="1:4" ht="15" customHeight="1">
      <c r="A14" s="97" t="s">
        <v>29</v>
      </c>
      <c r="B14" s="66">
        <f>'6 Trench length and size'!B5</f>
        <v>3095</v>
      </c>
      <c r="C14" s="105">
        <f>'6 Trench length and size'!H5</f>
        <v>0.44214039378923464</v>
      </c>
      <c r="D14" s="106">
        <v>424</v>
      </c>
    </row>
    <row r="15" spans="1:4" ht="15" customHeight="1">
      <c r="A15" s="97" t="s">
        <v>43</v>
      </c>
      <c r="B15" s="66">
        <f>'6 Trench length and size'!B18</f>
        <v>2775</v>
      </c>
      <c r="C15" s="105">
        <f>'6 Trench length and size'!H18</f>
        <v>0.99313431041048117</v>
      </c>
      <c r="D15" s="106">
        <v>419</v>
      </c>
    </row>
    <row r="16" spans="1:4" ht="15" customHeight="1">
      <c r="A16" s="97" t="s">
        <v>58</v>
      </c>
      <c r="B16" s="66">
        <f>'6 Trench length and size'!B30</f>
        <v>2200</v>
      </c>
      <c r="C16" s="105">
        <f>'6 Trench length and size'!H30</f>
        <v>6.1626203461711926</v>
      </c>
      <c r="D16" s="106">
        <v>407.11050726978999</v>
      </c>
    </row>
    <row r="17" spans="1:16" ht="15" customHeight="1">
      <c r="A17" s="97" t="s">
        <v>39</v>
      </c>
      <c r="B17" s="66">
        <f>'6 Trench length and size'!B14</f>
        <v>1951</v>
      </c>
      <c r="C17" s="105">
        <f>'6 Trench length and size'!H14</f>
        <v>0.1996366224635098</v>
      </c>
      <c r="D17" s="106">
        <v>395.28752941176464</v>
      </c>
    </row>
    <row r="18" spans="1:16" ht="15" customHeight="1">
      <c r="A18" s="97" t="s">
        <v>59</v>
      </c>
      <c r="B18" s="66">
        <f>'6 Trench length and size'!B31</f>
        <v>1931</v>
      </c>
      <c r="C18" s="105">
        <f>'6 Trench length and size'!H31</f>
        <v>0.36241050468712577</v>
      </c>
      <c r="D18" s="106">
        <v>370</v>
      </c>
    </row>
    <row r="19" spans="1:16" ht="15" customHeight="1">
      <c r="A19" s="97" t="s">
        <v>70</v>
      </c>
      <c r="B19" s="66">
        <f>'6 Trench length and size'!B29</f>
        <v>1800</v>
      </c>
      <c r="C19" s="105">
        <f>'6 Trench length and size'!H29</f>
        <v>2.7007921963670387E-2</v>
      </c>
      <c r="D19" s="106">
        <v>347.78406685236769</v>
      </c>
    </row>
    <row r="20" spans="1:16" ht="15" customHeight="1">
      <c r="A20" s="97" t="s">
        <v>42</v>
      </c>
      <c r="B20" s="66">
        <f>'6 Trench length and size'!B17</f>
        <v>1700</v>
      </c>
      <c r="C20" s="105">
        <f>'6 Trench length and size'!H17</f>
        <v>0.8854314238570643</v>
      </c>
      <c r="D20" s="106">
        <v>289.56417299999998</v>
      </c>
    </row>
    <row r="21" spans="1:16" ht="15" customHeight="1">
      <c r="A21" s="97" t="s">
        <v>34</v>
      </c>
      <c r="B21" s="66">
        <f>'6 Trench length and size'!B9</f>
        <v>1450</v>
      </c>
      <c r="C21" s="105">
        <f>'6 Trench length and size'!H9</f>
        <v>1.0944883078455943</v>
      </c>
      <c r="D21" s="106">
        <v>241.95028200000002</v>
      </c>
    </row>
    <row r="22" spans="1:16" ht="15" customHeight="1">
      <c r="A22" s="97" t="s">
        <v>51</v>
      </c>
      <c r="B22" s="66">
        <f>'6 Trench length and size'!B24</f>
        <v>1400</v>
      </c>
      <c r="C22" s="105">
        <f>'6 Trench length and size'!H24</f>
        <v>0.25686089203017526</v>
      </c>
      <c r="D22" s="106">
        <v>213</v>
      </c>
    </row>
    <row r="23" spans="1:16" ht="15" customHeight="1">
      <c r="A23" s="97" t="s">
        <v>52</v>
      </c>
      <c r="B23" s="66">
        <f>'6 Trench length and size'!B25</f>
        <v>897.5</v>
      </c>
      <c r="C23" s="105">
        <f>'6 Trench length and size'!H25</f>
        <v>0.43130210465815888</v>
      </c>
      <c r="D23" s="106">
        <v>185.8744180977543</v>
      </c>
    </row>
    <row r="24" spans="1:16" ht="15" customHeight="1">
      <c r="A24" s="97" t="s">
        <v>53</v>
      </c>
      <c r="B24" s="66">
        <f>'6 Trench length and size'!B26</f>
        <v>740</v>
      </c>
      <c r="C24" s="105">
        <f>'6 Trench length and size'!H26</f>
        <v>1.5765793596786846E-2</v>
      </c>
      <c r="D24" s="106">
        <v>149</v>
      </c>
    </row>
    <row r="25" spans="1:16" ht="15" customHeight="1">
      <c r="A25" s="97" t="s">
        <v>31</v>
      </c>
      <c r="B25" s="66">
        <f>'6 Trench length and size'!B6</f>
        <v>440</v>
      </c>
      <c r="C25" s="105">
        <f>'6 Trench length and size'!H6</f>
        <v>0.10794245489599989</v>
      </c>
      <c r="D25" s="106">
        <v>122.53093019480519</v>
      </c>
      <c r="E25" s="96" t="s">
        <v>328</v>
      </c>
      <c r="P25" s="96" t="s">
        <v>327</v>
      </c>
    </row>
    <row r="26" spans="1:16" ht="15" customHeight="1">
      <c r="A26" s="97" t="s">
        <v>38</v>
      </c>
      <c r="B26" s="66">
        <f>'6 Trench length and size'!B13</f>
        <v>200</v>
      </c>
      <c r="C26" s="105">
        <f>'6 Trench length and size'!H13</f>
        <v>1.8648715910030762E-2</v>
      </c>
      <c r="D26" s="106">
        <v>110</v>
      </c>
    </row>
    <row r="27" spans="1:16" ht="15" customHeight="1">
      <c r="A27" s="97" t="s">
        <v>48</v>
      </c>
      <c r="B27" s="66">
        <f>'6 Trench length and size'!B22</f>
        <v>24</v>
      </c>
      <c r="C27" s="105">
        <f>'6 Trench length and size'!H22</f>
        <v>2.3353988963488665E-3</v>
      </c>
    </row>
    <row r="28" spans="1:16" ht="15" customHeight="1"/>
    <row r="29" spans="1:16" ht="15" customHeight="1">
      <c r="A29" s="107" t="s">
        <v>55</v>
      </c>
      <c r="B29" s="106"/>
      <c r="C29" s="105">
        <f>'6 Trench length and size'!H28</f>
        <v>0.3796173794447425</v>
      </c>
    </row>
    <row r="30" spans="1:16" ht="15" customHeight="1"/>
    <row r="31" spans="1:16" ht="15" customHeight="1"/>
    <row r="32" spans="1:16" ht="15" customHeight="1"/>
    <row r="33" spans="1:1" ht="15" customHeight="1">
      <c r="A33" s="97" t="s">
        <v>326</v>
      </c>
    </row>
    <row r="34" spans="1:1" ht="15" customHeight="1">
      <c r="A34" s="97" t="s">
        <v>60</v>
      </c>
    </row>
    <row r="35" spans="1:1" ht="15" customHeight="1">
      <c r="A35" s="97" t="s">
        <v>51</v>
      </c>
    </row>
    <row r="36" spans="1:1" ht="15" customHeight="1">
      <c r="A36" s="97" t="s">
        <v>41</v>
      </c>
    </row>
    <row r="37" spans="1:1" ht="15" customHeight="1">
      <c r="A37" s="97" t="s">
        <v>31</v>
      </c>
    </row>
    <row r="38" spans="1:1" ht="15" customHeight="1">
      <c r="A38" s="97" t="s">
        <v>36</v>
      </c>
    </row>
    <row r="39" spans="1:1" ht="15" customHeight="1">
      <c r="A39" s="97" t="s">
        <v>39</v>
      </c>
    </row>
    <row r="40" spans="1:1" ht="15" customHeight="1">
      <c r="A40" s="97" t="s">
        <v>47</v>
      </c>
    </row>
    <row r="41" spans="1:1" ht="15" customHeight="1">
      <c r="A41" s="97" t="s">
        <v>43</v>
      </c>
    </row>
    <row r="42" spans="1:1" ht="15" customHeight="1">
      <c r="A42" s="97" t="s">
        <v>32</v>
      </c>
    </row>
    <row r="43" spans="1:1" ht="15" customHeight="1">
      <c r="A43" s="97" t="s">
        <v>50</v>
      </c>
    </row>
    <row r="44" spans="1:1" ht="15" customHeight="1">
      <c r="A44" s="97" t="s">
        <v>34</v>
      </c>
    </row>
    <row r="45" spans="1:1" ht="15" customHeight="1">
      <c r="A45" s="97" t="s">
        <v>37</v>
      </c>
    </row>
    <row r="46" spans="1:1" ht="15" customHeight="1">
      <c r="A46" s="107" t="s">
        <v>55</v>
      </c>
    </row>
    <row r="47" spans="1:1" ht="15" customHeight="1">
      <c r="A47" s="97" t="s">
        <v>27</v>
      </c>
    </row>
    <row r="48" spans="1:1" ht="15" customHeight="1">
      <c r="A48" s="97" t="s">
        <v>29</v>
      </c>
    </row>
    <row r="49" spans="1:1" ht="15" customHeight="1">
      <c r="A49" s="97" t="s">
        <v>42</v>
      </c>
    </row>
    <row r="50" spans="1:1" ht="15" customHeight="1">
      <c r="A50" s="97" t="s">
        <v>70</v>
      </c>
    </row>
    <row r="51" spans="1:1" ht="15" customHeight="1">
      <c r="A51" s="97" t="s">
        <v>52</v>
      </c>
    </row>
    <row r="52" spans="1:1" ht="15" customHeight="1">
      <c r="A52" s="97" t="s">
        <v>38</v>
      </c>
    </row>
    <row r="53" spans="1:1" ht="15" customHeight="1">
      <c r="A53" s="97" t="s">
        <v>46</v>
      </c>
    </row>
    <row r="54" spans="1:1" ht="15" customHeight="1">
      <c r="A54" s="97" t="s">
        <v>54</v>
      </c>
    </row>
    <row r="55" spans="1:1" ht="15" customHeight="1">
      <c r="A55" s="97" t="s">
        <v>35</v>
      </c>
    </row>
    <row r="56" spans="1:1" ht="15" customHeight="1">
      <c r="A56" s="97" t="s">
        <v>58</v>
      </c>
    </row>
    <row r="57" spans="1:1" ht="15" customHeight="1">
      <c r="A57" s="97" t="s">
        <v>33</v>
      </c>
    </row>
    <row r="58" spans="1:1" ht="15" customHeight="1">
      <c r="A58" s="97" t="s">
        <v>59</v>
      </c>
    </row>
    <row r="59" spans="1:1" ht="15" customHeight="1"/>
    <row r="60" spans="1:1" ht="15" customHeight="1"/>
    <row r="61" spans="1:1" ht="15" customHeight="1"/>
    <row r="62" spans="1:1" ht="15" customHeight="1"/>
  </sheetData>
  <autoFilter ref="A33:D33" xr:uid="{50BE8F50-3680-40C8-A3E3-3E1479DA2806}">
    <sortState xmlns:xlrd2="http://schemas.microsoft.com/office/spreadsheetml/2017/richdata2" ref="A34:D58">
      <sortCondition descending="1" ref="B33"/>
    </sortState>
  </autoFilter>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6592A-A483-43B1-9448-43B2E77D96F8}">
  <dimension ref="A1:P38"/>
  <sheetViews>
    <sheetView zoomScaleNormal="100" workbookViewId="0">
      <selection activeCell="I28" sqref="I28"/>
    </sheetView>
  </sheetViews>
  <sheetFormatPr defaultColWidth="11.44140625" defaultRowHeight="14.4"/>
  <cols>
    <col min="1" max="1" width="22.5546875" style="19" customWidth="1"/>
    <col min="2" max="5" width="11.44140625" style="19"/>
    <col min="6" max="6" width="14" style="19" customWidth="1"/>
    <col min="7" max="7" width="13.6640625" style="19" bestFit="1" customWidth="1"/>
    <col min="8" max="16384" width="11.44140625" style="19"/>
  </cols>
  <sheetData>
    <row r="1" spans="1:16" ht="18.600000000000001" thickBot="1">
      <c r="A1" s="114" t="s">
        <v>20</v>
      </c>
    </row>
    <row r="2" spans="1:16" ht="25.8" thickBot="1">
      <c r="A2" s="143" t="s">
        <v>21</v>
      </c>
      <c r="B2" s="131" t="s">
        <v>22</v>
      </c>
      <c r="C2" s="131" t="s">
        <v>23</v>
      </c>
      <c r="D2" s="131" t="s">
        <v>24</v>
      </c>
      <c r="E2" s="131" t="s">
        <v>25</v>
      </c>
      <c r="F2" s="132" t="s">
        <v>26</v>
      </c>
    </row>
    <row r="3" spans="1:16" ht="15" thickBot="1">
      <c r="A3" s="119" t="s">
        <v>27</v>
      </c>
      <c r="B3" s="2">
        <v>9750</v>
      </c>
      <c r="C3" s="2">
        <v>6630</v>
      </c>
      <c r="D3" s="3">
        <v>3120</v>
      </c>
      <c r="E3" s="2">
        <v>19500</v>
      </c>
      <c r="F3" s="144">
        <v>1</v>
      </c>
      <c r="O3" s="19" t="s">
        <v>37</v>
      </c>
      <c r="P3" s="150">
        <v>124122</v>
      </c>
    </row>
    <row r="4" spans="1:16" ht="15" thickBot="1">
      <c r="A4" s="119" t="s">
        <v>28</v>
      </c>
      <c r="B4" s="16">
        <v>102.94999999999999</v>
      </c>
      <c r="C4" s="16">
        <v>156.19999999999999</v>
      </c>
      <c r="D4" s="16">
        <v>95.850000000000009</v>
      </c>
      <c r="E4" s="16">
        <f>SUM(B4:D4)</f>
        <v>355</v>
      </c>
      <c r="F4" s="160">
        <v>2</v>
      </c>
      <c r="H4" s="56"/>
      <c r="I4" s="56"/>
      <c r="J4" s="56"/>
      <c r="L4" s="147"/>
      <c r="M4" s="148"/>
      <c r="N4" s="148"/>
      <c r="O4" s="19" t="s">
        <v>47</v>
      </c>
      <c r="P4" s="150">
        <v>64849</v>
      </c>
    </row>
    <row r="5" spans="1:16" ht="15" thickBot="1">
      <c r="A5" s="119" t="s">
        <v>29</v>
      </c>
      <c r="B5" s="2">
        <v>3769</v>
      </c>
      <c r="C5" s="2">
        <v>1293</v>
      </c>
      <c r="D5" s="4">
        <v>629</v>
      </c>
      <c r="E5" s="2">
        <v>5691</v>
      </c>
      <c r="F5" s="144">
        <v>3</v>
      </c>
      <c r="G5" s="149"/>
      <c r="O5" s="19" t="s">
        <v>54</v>
      </c>
      <c r="P5" s="150">
        <v>50951</v>
      </c>
    </row>
    <row r="6" spans="1:16" ht="15.75" customHeight="1" thickBot="1">
      <c r="A6" s="122" t="s">
        <v>30</v>
      </c>
      <c r="B6" s="2"/>
      <c r="C6" s="2"/>
      <c r="D6" s="2"/>
      <c r="E6" s="2"/>
      <c r="F6" s="161"/>
      <c r="O6" s="19" t="s">
        <v>35</v>
      </c>
      <c r="P6" s="150">
        <v>33500</v>
      </c>
    </row>
    <row r="7" spans="1:16" ht="15" thickBot="1">
      <c r="A7" s="119" t="s">
        <v>31</v>
      </c>
      <c r="B7" s="2">
        <v>1297</v>
      </c>
      <c r="C7" s="4">
        <v>387</v>
      </c>
      <c r="D7" s="4">
        <v>314</v>
      </c>
      <c r="E7" s="2">
        <v>1998</v>
      </c>
      <c r="F7" s="144">
        <v>4</v>
      </c>
      <c r="O7" s="19" t="s">
        <v>33</v>
      </c>
      <c r="P7" s="150">
        <v>30554</v>
      </c>
    </row>
    <row r="8" spans="1:16" ht="15" thickBot="1">
      <c r="A8" s="119" t="s">
        <v>32</v>
      </c>
      <c r="B8" s="2">
        <v>7072</v>
      </c>
      <c r="C8" s="2">
        <v>4029</v>
      </c>
      <c r="D8" s="2">
        <v>5693</v>
      </c>
      <c r="E8" s="2">
        <v>17986</v>
      </c>
      <c r="F8" s="144">
        <v>6</v>
      </c>
      <c r="O8" s="19" t="s">
        <v>36</v>
      </c>
      <c r="P8" s="150">
        <v>25400</v>
      </c>
    </row>
    <row r="9" spans="1:16" ht="15" thickBot="1">
      <c r="A9" s="119" t="s">
        <v>33</v>
      </c>
      <c r="B9" s="2">
        <v>19933</v>
      </c>
      <c r="C9" s="2">
        <v>9211</v>
      </c>
      <c r="D9" s="2">
        <v>1410</v>
      </c>
      <c r="E9" s="2">
        <v>30554</v>
      </c>
      <c r="F9" s="144">
        <v>8</v>
      </c>
      <c r="O9" s="19" t="s">
        <v>27</v>
      </c>
      <c r="P9" s="150">
        <v>19500</v>
      </c>
    </row>
    <row r="10" spans="1:16" ht="15" thickBot="1">
      <c r="A10" s="119" t="s">
        <v>34</v>
      </c>
      <c r="B10" s="2">
        <v>3627</v>
      </c>
      <c r="C10" s="2">
        <v>1417</v>
      </c>
      <c r="D10" s="4">
        <v>416</v>
      </c>
      <c r="E10" s="2">
        <v>5583</v>
      </c>
      <c r="F10" s="144">
        <v>9</v>
      </c>
      <c r="O10" s="19" t="s">
        <v>32</v>
      </c>
      <c r="P10" s="150">
        <v>17986</v>
      </c>
    </row>
    <row r="11" spans="1:16" ht="15" thickBot="1">
      <c r="A11" s="119" t="s">
        <v>35</v>
      </c>
      <c r="B11" s="2">
        <v>18090</v>
      </c>
      <c r="C11" s="2">
        <v>12375</v>
      </c>
      <c r="D11" s="2">
        <v>3035</v>
      </c>
      <c r="E11" s="2">
        <v>33500</v>
      </c>
      <c r="F11" s="144">
        <v>18</v>
      </c>
      <c r="O11" s="19" t="s">
        <v>51</v>
      </c>
      <c r="P11" s="150">
        <v>14271</v>
      </c>
    </row>
    <row r="12" spans="1:16" ht="15" thickBot="1">
      <c r="A12" s="119" t="s">
        <v>36</v>
      </c>
      <c r="B12" s="2">
        <v>14000</v>
      </c>
      <c r="C12" s="2">
        <v>8000</v>
      </c>
      <c r="D12" s="2">
        <v>3400</v>
      </c>
      <c r="E12" s="2">
        <v>25400</v>
      </c>
      <c r="F12" s="144">
        <v>19</v>
      </c>
      <c r="O12" s="19" t="s">
        <v>50</v>
      </c>
      <c r="P12" s="150">
        <v>9887</v>
      </c>
    </row>
    <row r="13" spans="1:16" ht="15" thickBot="1">
      <c r="A13" s="119" t="s">
        <v>37</v>
      </c>
      <c r="B13" s="2">
        <v>42525</v>
      </c>
      <c r="C13" s="2">
        <v>37856</v>
      </c>
      <c r="D13" s="2">
        <v>22043</v>
      </c>
      <c r="E13" s="2">
        <v>124122</v>
      </c>
      <c r="F13" s="161">
        <v>22</v>
      </c>
      <c r="O13" s="19" t="s">
        <v>41</v>
      </c>
      <c r="P13" s="150">
        <v>9289</v>
      </c>
    </row>
    <row r="14" spans="1:16" ht="15" thickBot="1">
      <c r="A14" s="122" t="s">
        <v>38</v>
      </c>
      <c r="B14" s="5"/>
      <c r="C14" s="5"/>
      <c r="D14" s="5"/>
      <c r="E14" s="5">
        <v>340</v>
      </c>
      <c r="F14" s="160">
        <v>23</v>
      </c>
      <c r="O14" s="19" t="s">
        <v>43</v>
      </c>
      <c r="P14" s="150">
        <v>7645</v>
      </c>
    </row>
    <row r="15" spans="1:16" ht="15" thickBot="1">
      <c r="A15" s="119" t="s">
        <v>39</v>
      </c>
      <c r="B15" s="2">
        <v>5417</v>
      </c>
      <c r="C15" s="2">
        <v>1790</v>
      </c>
      <c r="D15" s="5"/>
      <c r="E15" s="2">
        <v>7206</v>
      </c>
      <c r="F15" s="144">
        <v>24</v>
      </c>
      <c r="O15" s="19" t="s">
        <v>39</v>
      </c>
      <c r="P15" s="150">
        <v>7206</v>
      </c>
    </row>
    <row r="16" spans="1:16" ht="15" thickBot="1">
      <c r="A16" s="122" t="s">
        <v>40</v>
      </c>
      <c r="B16" s="5"/>
      <c r="C16" s="5"/>
      <c r="D16" s="5"/>
      <c r="E16" s="5"/>
      <c r="F16" s="160"/>
      <c r="O16" s="19" t="s">
        <v>42</v>
      </c>
      <c r="P16" s="150">
        <v>6757</v>
      </c>
    </row>
    <row r="17" spans="1:16" ht="15" thickBot="1">
      <c r="A17" s="119" t="s">
        <v>41</v>
      </c>
      <c r="B17" s="2">
        <v>5900</v>
      </c>
      <c r="C17" s="2">
        <v>3100</v>
      </c>
      <c r="D17" s="4">
        <v>289</v>
      </c>
      <c r="E17" s="2">
        <v>9289</v>
      </c>
      <c r="F17" s="144">
        <v>28</v>
      </c>
      <c r="G17" s="150"/>
      <c r="O17" s="19" t="s">
        <v>46</v>
      </c>
      <c r="P17" s="150">
        <v>6333</v>
      </c>
    </row>
    <row r="18" spans="1:16" ht="15" thickBot="1">
      <c r="A18" s="119" t="s">
        <v>42</v>
      </c>
      <c r="B18" s="2">
        <v>4315</v>
      </c>
      <c r="C18" s="2">
        <v>1500</v>
      </c>
      <c r="D18" s="4">
        <v>942</v>
      </c>
      <c r="E18" s="4">
        <v>6757</v>
      </c>
      <c r="F18" s="144">
        <v>29</v>
      </c>
      <c r="O18" s="19" t="s">
        <v>29</v>
      </c>
      <c r="P18" s="150">
        <v>5691</v>
      </c>
    </row>
    <row r="19" spans="1:16" ht="15" thickBot="1">
      <c r="A19" s="119" t="s">
        <v>43</v>
      </c>
      <c r="B19" s="2">
        <v>5580</v>
      </c>
      <c r="C19" s="2">
        <v>2065</v>
      </c>
      <c r="D19" s="5"/>
      <c r="E19" s="2">
        <v>7645</v>
      </c>
      <c r="F19" s="144">
        <v>32</v>
      </c>
      <c r="O19" s="19" t="s">
        <v>34</v>
      </c>
      <c r="P19" s="150">
        <v>5583</v>
      </c>
    </row>
    <row r="20" spans="1:16" ht="15" thickBot="1">
      <c r="A20" s="119" t="s">
        <v>44</v>
      </c>
      <c r="B20" s="5">
        <v>80</v>
      </c>
      <c r="C20" s="5">
        <v>773</v>
      </c>
      <c r="D20" s="5">
        <v>6</v>
      </c>
      <c r="E20" s="13">
        <v>860</v>
      </c>
      <c r="F20" s="160">
        <v>33</v>
      </c>
      <c r="G20" s="151"/>
      <c r="O20" s="19" t="s">
        <v>31</v>
      </c>
      <c r="P20" s="150">
        <v>1998</v>
      </c>
    </row>
    <row r="21" spans="1:16" ht="15" thickBot="1">
      <c r="A21" s="122" t="s">
        <v>45</v>
      </c>
      <c r="B21" s="2"/>
      <c r="C21" s="2"/>
      <c r="D21" s="2"/>
      <c r="E21" s="2"/>
      <c r="F21" s="162"/>
      <c r="O21" s="19" t="s">
        <v>52</v>
      </c>
      <c r="P21" s="150">
        <v>1897</v>
      </c>
    </row>
    <row r="22" spans="1:16" ht="15" thickBot="1">
      <c r="A22" s="119" t="s">
        <v>46</v>
      </c>
      <c r="B22" s="2">
        <v>2967</v>
      </c>
      <c r="C22" s="2">
        <v>2065</v>
      </c>
      <c r="D22" s="2">
        <v>1300</v>
      </c>
      <c r="E22" s="2">
        <v>6333</v>
      </c>
      <c r="F22" s="144">
        <v>34</v>
      </c>
      <c r="O22" s="19" t="s">
        <v>44</v>
      </c>
      <c r="P22" s="150">
        <v>860</v>
      </c>
    </row>
    <row r="23" spans="1:16" ht="15" thickBot="1">
      <c r="A23" s="119" t="s">
        <v>47</v>
      </c>
      <c r="B23" s="2">
        <v>43611</v>
      </c>
      <c r="C23" s="2">
        <v>11614</v>
      </c>
      <c r="D23" s="2">
        <v>9624</v>
      </c>
      <c r="E23" s="2">
        <v>64849</v>
      </c>
      <c r="F23" s="144">
        <v>37</v>
      </c>
      <c r="O23" s="19" t="s">
        <v>53</v>
      </c>
      <c r="P23" s="150">
        <v>535</v>
      </c>
    </row>
    <row r="24" spans="1:16" ht="15" thickBot="1">
      <c r="A24" s="119" t="s">
        <v>48</v>
      </c>
      <c r="B24" s="4">
        <v>12</v>
      </c>
      <c r="C24" s="4">
        <v>31</v>
      </c>
      <c r="D24" s="4" t="s">
        <v>49</v>
      </c>
      <c r="E24" s="4">
        <v>43</v>
      </c>
      <c r="F24" s="144">
        <v>10</v>
      </c>
      <c r="O24" s="148" t="s">
        <v>28</v>
      </c>
      <c r="P24" s="150">
        <v>355</v>
      </c>
    </row>
    <row r="25" spans="1:16" ht="15" thickBot="1">
      <c r="A25" s="119" t="s">
        <v>50</v>
      </c>
      <c r="B25" s="2">
        <v>7346</v>
      </c>
      <c r="C25" s="2">
        <f>780+1760</f>
        <v>2540</v>
      </c>
      <c r="D25" s="5"/>
      <c r="E25" s="2">
        <v>9887</v>
      </c>
      <c r="F25" s="144">
        <v>38</v>
      </c>
      <c r="O25" s="19" t="s">
        <v>38</v>
      </c>
      <c r="P25" s="150">
        <v>340</v>
      </c>
    </row>
    <row r="26" spans="1:16" ht="15" thickBot="1">
      <c r="A26" s="119" t="s">
        <v>51</v>
      </c>
      <c r="B26" s="2">
        <v>4383</v>
      </c>
      <c r="C26" s="2">
        <v>4348</v>
      </c>
      <c r="D26" s="2">
        <v>5540</v>
      </c>
      <c r="E26" s="2">
        <v>14271</v>
      </c>
      <c r="F26" s="144">
        <v>40</v>
      </c>
      <c r="O26" s="19" t="s">
        <v>48</v>
      </c>
      <c r="P26" s="150">
        <v>43</v>
      </c>
    </row>
    <row r="27" spans="1:16" ht="15" thickBot="1">
      <c r="A27" s="119" t="s">
        <v>52</v>
      </c>
      <c r="B27" s="4">
        <v>853</v>
      </c>
      <c r="C27" s="4">
        <v>688</v>
      </c>
      <c r="D27" s="4">
        <v>356</v>
      </c>
      <c r="E27" s="2">
        <v>1897</v>
      </c>
      <c r="F27" s="144">
        <v>41</v>
      </c>
      <c r="O27" s="19" t="s">
        <v>30</v>
      </c>
      <c r="P27" s="150"/>
    </row>
    <row r="28" spans="1:16" ht="15" thickBot="1">
      <c r="A28" s="119" t="s">
        <v>53</v>
      </c>
      <c r="B28" s="4">
        <v>160</v>
      </c>
      <c r="C28" s="4">
        <v>256</v>
      </c>
      <c r="D28" s="4">
        <v>117</v>
      </c>
      <c r="E28" s="4">
        <v>535</v>
      </c>
      <c r="F28" s="144">
        <v>42</v>
      </c>
      <c r="H28" s="150"/>
      <c r="O28" s="19" t="s">
        <v>40</v>
      </c>
      <c r="P28" s="150"/>
    </row>
    <row r="29" spans="1:16" ht="15" thickBot="1">
      <c r="A29" s="119" t="s">
        <v>54</v>
      </c>
      <c r="B29" s="2">
        <v>30130</v>
      </c>
      <c r="C29" s="2">
        <v>14761</v>
      </c>
      <c r="D29" s="2">
        <v>6060</v>
      </c>
      <c r="E29" s="2">
        <v>50951</v>
      </c>
      <c r="F29" s="144">
        <v>43</v>
      </c>
      <c r="O29" s="19" t="s">
        <v>45</v>
      </c>
      <c r="P29" s="150"/>
    </row>
    <row r="30" spans="1:16" ht="15" thickBot="1">
      <c r="A30" s="125" t="s">
        <v>55</v>
      </c>
      <c r="B30" s="7">
        <f>SUM(B3:B29)</f>
        <v>230919.95</v>
      </c>
      <c r="C30" s="7">
        <f>SUM(C3:C29)</f>
        <v>126885.2</v>
      </c>
      <c r="D30" s="7">
        <f>SUM(D3:D29)</f>
        <v>64389.85</v>
      </c>
      <c r="E30" s="7">
        <f>SUM(E3:E29)</f>
        <v>445552</v>
      </c>
      <c r="F30" s="163"/>
    </row>
    <row r="31" spans="1:16" ht="15" thickBot="1">
      <c r="A31" s="119" t="s">
        <v>56</v>
      </c>
      <c r="B31" s="2">
        <v>6500</v>
      </c>
      <c r="C31" s="2">
        <v>5500</v>
      </c>
      <c r="D31" s="4" t="s">
        <v>57</v>
      </c>
      <c r="E31" s="2">
        <v>12000</v>
      </c>
      <c r="F31" s="144">
        <v>48</v>
      </c>
    </row>
    <row r="32" spans="1:16" ht="15" thickBot="1">
      <c r="A32" s="119" t="s">
        <v>58</v>
      </c>
      <c r="B32" s="2">
        <v>4478</v>
      </c>
      <c r="C32" s="2">
        <v>3829</v>
      </c>
      <c r="D32" s="4">
        <v>261</v>
      </c>
      <c r="E32" s="2">
        <v>9369</v>
      </c>
      <c r="F32" s="144">
        <v>25</v>
      </c>
    </row>
    <row r="33" spans="1:6" ht="15" thickBot="1">
      <c r="A33" s="119" t="s">
        <v>59</v>
      </c>
      <c r="B33" s="2">
        <v>1513</v>
      </c>
      <c r="C33" s="2">
        <v>3364</v>
      </c>
      <c r="D33" s="4">
        <v>766</v>
      </c>
      <c r="E33" s="2">
        <v>5870</v>
      </c>
      <c r="F33" s="144">
        <v>35</v>
      </c>
    </row>
    <row r="34" spans="1:6" ht="15" thickBot="1">
      <c r="A34" s="126" t="s">
        <v>60</v>
      </c>
      <c r="B34" s="157">
        <v>26418</v>
      </c>
      <c r="C34" s="157">
        <v>17345</v>
      </c>
      <c r="D34" s="157">
        <v>11246</v>
      </c>
      <c r="E34" s="157">
        <v>55009</v>
      </c>
      <c r="F34" s="146" t="s">
        <v>61</v>
      </c>
    </row>
    <row r="35" spans="1:6" ht="15" customHeight="1" thickBot="1">
      <c r="A35" s="220" t="s">
        <v>62</v>
      </c>
      <c r="B35" s="221"/>
      <c r="C35" s="221"/>
      <c r="D35" s="221"/>
      <c r="E35" s="221"/>
      <c r="F35" s="222"/>
    </row>
    <row r="36" spans="1:6">
      <c r="A36" s="152"/>
    </row>
    <row r="38" spans="1:6">
      <c r="A38" s="152"/>
      <c r="B38" s="56"/>
      <c r="C38" s="56"/>
      <c r="D38" s="56"/>
    </row>
  </sheetData>
  <sortState xmlns:xlrd2="http://schemas.microsoft.com/office/spreadsheetml/2017/richdata2" ref="O4:P29">
    <sortCondition descending="1" ref="P4:P29"/>
  </sortState>
  <mergeCells count="1">
    <mergeCell ref="A35:F35"/>
  </mergeCells>
  <pageMargins left="0.7" right="0.7" top="0.78740157499999996" bottom="0.78740157499999996"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5E7FC-E87F-4AAD-82C8-45E24BCEC7A7}">
  <dimension ref="A1:O115"/>
  <sheetViews>
    <sheetView topLeftCell="A79" zoomScale="85" zoomScaleNormal="85" workbookViewId="0">
      <selection activeCell="K116" sqref="K116"/>
    </sheetView>
  </sheetViews>
  <sheetFormatPr defaultColWidth="11.44140625" defaultRowHeight="14.4"/>
  <cols>
    <col min="1" max="1" width="22.5546875" style="19" customWidth="1"/>
    <col min="2" max="5" width="11.44140625" style="19"/>
    <col min="6" max="6" width="14" style="19" customWidth="1"/>
    <col min="7" max="7" width="13.6640625" style="19" bestFit="1" customWidth="1"/>
    <col min="8" max="16384" width="11.44140625" style="19"/>
  </cols>
  <sheetData>
    <row r="1" spans="1:15" ht="18.600000000000001" thickBot="1">
      <c r="A1" s="11" t="s">
        <v>63</v>
      </c>
      <c r="B1"/>
      <c r="C1"/>
      <c r="D1"/>
      <c r="E1"/>
      <c r="F1"/>
    </row>
    <row r="2" spans="1:15" ht="38.4" thickBot="1">
      <c r="A2" s="143" t="s">
        <v>21</v>
      </c>
      <c r="B2" s="131" t="s">
        <v>64</v>
      </c>
      <c r="C2" s="131" t="s">
        <v>65</v>
      </c>
      <c r="D2" s="131" t="s">
        <v>66</v>
      </c>
      <c r="E2" s="131" t="s">
        <v>67</v>
      </c>
      <c r="F2" s="132" t="s">
        <v>68</v>
      </c>
    </row>
    <row r="3" spans="1:15" ht="15" thickBot="1">
      <c r="A3" s="119" t="s">
        <v>27</v>
      </c>
      <c r="B3" s="2">
        <v>76092.373999999996</v>
      </c>
      <c r="C3" s="2">
        <v>63798.169139004574</v>
      </c>
      <c r="D3" s="3">
        <v>9750</v>
      </c>
      <c r="E3" s="82">
        <v>0.15282570223538122</v>
      </c>
      <c r="F3" s="153">
        <v>0.12813373387456672</v>
      </c>
    </row>
    <row r="4" spans="1:15" ht="15" thickBot="1">
      <c r="A4" s="119" t="s">
        <v>69</v>
      </c>
      <c r="B4" s="83">
        <v>94415.058000000005</v>
      </c>
      <c r="C4" s="83">
        <v>80557.508452885464</v>
      </c>
      <c r="D4" s="16">
        <v>102.94999999999999</v>
      </c>
      <c r="E4" s="84">
        <v>1.2779690183716507E-3</v>
      </c>
      <c r="F4" s="154">
        <v>1.0903981015401164E-3</v>
      </c>
      <c r="H4" s="56"/>
      <c r="I4" s="56"/>
      <c r="J4" s="56"/>
      <c r="L4" s="147"/>
      <c r="M4" s="148"/>
      <c r="N4" s="148"/>
      <c r="O4" s="148"/>
    </row>
    <row r="5" spans="1:15" ht="15" thickBot="1">
      <c r="A5" s="119" t="s">
        <v>29</v>
      </c>
      <c r="B5" s="2">
        <v>25931.098999999998</v>
      </c>
      <c r="C5" s="2">
        <v>18358.836967233732</v>
      </c>
      <c r="D5" s="2">
        <v>3769</v>
      </c>
      <c r="E5" s="82">
        <v>0.20529622909810633</v>
      </c>
      <c r="F5" s="153">
        <v>0.14534671284082484</v>
      </c>
      <c r="G5" s="149"/>
    </row>
    <row r="6" spans="1:15" ht="15.75" customHeight="1" thickBot="1">
      <c r="A6" s="122" t="s">
        <v>31</v>
      </c>
      <c r="B6" s="2">
        <v>26736.701000000001</v>
      </c>
      <c r="C6" s="2">
        <v>20953.84128603783</v>
      </c>
      <c r="D6" s="2">
        <v>1297</v>
      </c>
      <c r="E6" s="82">
        <v>6.1897958579281105E-2</v>
      </c>
      <c r="F6" s="153">
        <v>4.8510098534594821E-2</v>
      </c>
    </row>
    <row r="7" spans="1:15" ht="15" thickBot="1">
      <c r="A7" s="119" t="s">
        <v>32</v>
      </c>
      <c r="B7" s="2">
        <v>81906.7</v>
      </c>
      <c r="C7" s="2">
        <v>70022.84139046885</v>
      </c>
      <c r="D7" s="2">
        <v>7072</v>
      </c>
      <c r="E7" s="82">
        <v>0.10099561599570571</v>
      </c>
      <c r="F7" s="153">
        <v>8.6342142950454601E-2</v>
      </c>
    </row>
    <row r="8" spans="1:15" ht="15" thickBot="1">
      <c r="A8" s="119" t="s">
        <v>33</v>
      </c>
      <c r="B8" s="2">
        <v>51684.065999999999</v>
      </c>
      <c r="C8" s="2">
        <v>43320.165084496984</v>
      </c>
      <c r="D8" s="2">
        <v>19933</v>
      </c>
      <c r="E8" s="82">
        <v>0.46013213387160973</v>
      </c>
      <c r="F8" s="153">
        <v>0.38567012123233496</v>
      </c>
    </row>
    <row r="9" spans="1:15" ht="15" thickBot="1">
      <c r="A9" s="119" t="s">
        <v>34</v>
      </c>
      <c r="B9" s="2">
        <v>10944.181</v>
      </c>
      <c r="C9" s="2">
        <v>9247.7279285268687</v>
      </c>
      <c r="D9" s="2">
        <v>3627</v>
      </c>
      <c r="E9" s="82">
        <v>0.39220444503039881</v>
      </c>
      <c r="F9" s="153">
        <v>0.3314089925961568</v>
      </c>
    </row>
    <row r="10" spans="1:15" ht="15" thickBot="1">
      <c r="A10" s="119" t="s">
        <v>35</v>
      </c>
      <c r="B10" s="2">
        <v>66187.606</v>
      </c>
      <c r="C10" s="2">
        <v>54228.884965479985</v>
      </c>
      <c r="D10" s="2">
        <v>18090</v>
      </c>
      <c r="E10" s="82">
        <v>0.33358605863859075</v>
      </c>
      <c r="F10" s="153">
        <v>0.27331400987671317</v>
      </c>
    </row>
    <row r="11" spans="1:15" ht="15" thickBot="1">
      <c r="A11" s="119" t="s">
        <v>36</v>
      </c>
      <c r="B11" s="2">
        <v>465353.18099999998</v>
      </c>
      <c r="C11" s="2">
        <v>354852.6902619446</v>
      </c>
      <c r="D11" s="2">
        <v>14000</v>
      </c>
      <c r="E11" s="82">
        <v>3.9452991013441401E-2</v>
      </c>
      <c r="F11" s="153">
        <v>3.008467669634346E-2</v>
      </c>
    </row>
    <row r="12" spans="1:15" ht="15" thickBot="1">
      <c r="A12" s="119" t="s">
        <v>37</v>
      </c>
      <c r="B12" s="2">
        <v>649462.65500000003</v>
      </c>
      <c r="C12" s="2">
        <v>538733.02182126115</v>
      </c>
      <c r="D12" s="2">
        <v>42525</v>
      </c>
      <c r="E12" s="82">
        <v>7.8935202182777622E-2</v>
      </c>
      <c r="F12" s="153">
        <v>6.5477205921870896E-2</v>
      </c>
    </row>
    <row r="13" spans="1:15" ht="15" thickBot="1">
      <c r="A13" s="119" t="s">
        <v>38</v>
      </c>
      <c r="B13" s="2"/>
      <c r="C13" s="2"/>
      <c r="D13" s="4"/>
      <c r="E13" s="82"/>
      <c r="F13" s="153"/>
    </row>
    <row r="14" spans="1:15" ht="15" thickBot="1">
      <c r="A14" s="122" t="s">
        <v>39</v>
      </c>
      <c r="B14" s="83">
        <v>67664.676999999996</v>
      </c>
      <c r="C14" s="83">
        <v>57225.978376807485</v>
      </c>
      <c r="D14" s="83">
        <v>5417</v>
      </c>
      <c r="E14" s="84">
        <v>9.4659805802383604E-2</v>
      </c>
      <c r="F14" s="154">
        <v>8.0056541169922391E-2</v>
      </c>
    </row>
    <row r="15" spans="1:15" ht="15" thickBot="1">
      <c r="A15" s="119" t="s">
        <v>40</v>
      </c>
      <c r="B15" s="2"/>
      <c r="C15" s="2"/>
      <c r="D15" s="5"/>
      <c r="E15" s="82"/>
      <c r="F15" s="153"/>
    </row>
    <row r="16" spans="1:15" ht="15" thickBot="1">
      <c r="A16" s="122" t="s">
        <v>41</v>
      </c>
      <c r="B16" s="83">
        <v>371061.65500000003</v>
      </c>
      <c r="C16" s="83">
        <v>292777.08349928888</v>
      </c>
      <c r="D16" s="83">
        <v>5900</v>
      </c>
      <c r="E16" s="84">
        <v>2.0151850443630537E-2</v>
      </c>
      <c r="F16" s="154">
        <v>1.590032254882278E-2</v>
      </c>
    </row>
    <row r="17" spans="1:8" ht="15" thickBot="1">
      <c r="A17" s="119" t="s">
        <v>42</v>
      </c>
      <c r="B17" s="2">
        <v>14316.638000000001</v>
      </c>
      <c r="C17" s="2">
        <v>12090.341516141845</v>
      </c>
      <c r="D17" s="2">
        <v>4315</v>
      </c>
      <c r="E17" s="82">
        <v>0.35689645277919013</v>
      </c>
      <c r="F17" s="153">
        <v>0.30139757672157386</v>
      </c>
      <c r="G17" s="150"/>
    </row>
    <row r="18" spans="1:8" ht="15" thickBot="1">
      <c r="A18" s="119" t="s">
        <v>43</v>
      </c>
      <c r="B18" s="2">
        <v>17579.984</v>
      </c>
      <c r="C18" s="2">
        <v>13921.29270774334</v>
      </c>
      <c r="D18" s="2">
        <v>5580</v>
      </c>
      <c r="E18" s="82">
        <v>0.40082484559040105</v>
      </c>
      <c r="F18" s="153">
        <v>0.31740643222428416</v>
      </c>
    </row>
    <row r="19" spans="1:8" ht="15" thickBot="1">
      <c r="A19" s="119" t="s">
        <v>44</v>
      </c>
      <c r="B19" s="2">
        <v>5811.1629999999996</v>
      </c>
      <c r="C19" s="2">
        <v>5013.0057323379579</v>
      </c>
      <c r="D19" s="5">
        <v>80</v>
      </c>
      <c r="E19" s="82">
        <v>1.5958489631068051E-2</v>
      </c>
      <c r="F19" s="153">
        <v>1.3766607475990608E-2</v>
      </c>
    </row>
    <row r="20" spans="1:8" ht="15" thickBot="1">
      <c r="A20" s="119" t="s">
        <v>46</v>
      </c>
      <c r="B20" s="83">
        <v>112188.25</v>
      </c>
      <c r="C20" s="83">
        <v>89839.219833578725</v>
      </c>
      <c r="D20" s="83">
        <v>2967</v>
      </c>
      <c r="E20" s="85">
        <v>3.3025665243934368E-2</v>
      </c>
      <c r="F20" s="154">
        <v>2.6446619855466147E-2</v>
      </c>
      <c r="G20" s="151"/>
    </row>
    <row r="21" spans="1:8" ht="15" thickBot="1">
      <c r="A21" s="122" t="s">
        <v>47</v>
      </c>
      <c r="B21" s="2">
        <v>226328.185</v>
      </c>
      <c r="C21" s="2">
        <v>185005.68415941991</v>
      </c>
      <c r="D21" s="2">
        <v>43611</v>
      </c>
      <c r="E21" s="82">
        <v>0.23572789235178462</v>
      </c>
      <c r="F21" s="155">
        <v>0.19268921367438174</v>
      </c>
    </row>
    <row r="22" spans="1:8" ht="15" thickBot="1">
      <c r="A22" s="119" t="s">
        <v>48</v>
      </c>
      <c r="B22" s="2">
        <v>33468.330999999998</v>
      </c>
      <c r="C22" s="2">
        <v>15277.028122284943</v>
      </c>
      <c r="D22" s="4">
        <v>12</v>
      </c>
      <c r="E22" s="82">
        <v>7.8549308831181192E-4</v>
      </c>
      <c r="F22" s="153">
        <v>3.5854790607873458E-4</v>
      </c>
    </row>
    <row r="23" spans="1:8" ht="15" thickBot="1">
      <c r="A23" s="119" t="s">
        <v>50</v>
      </c>
      <c r="B23" s="2">
        <v>90424.178</v>
      </c>
      <c r="C23" s="2">
        <v>69132.892403990772</v>
      </c>
      <c r="D23" s="2">
        <v>7346</v>
      </c>
      <c r="E23" s="82">
        <v>0.10625911551728948</v>
      </c>
      <c r="F23" s="153">
        <v>8.1239334019713186E-2</v>
      </c>
    </row>
    <row r="24" spans="1:8" ht="15" thickBot="1">
      <c r="A24" s="119" t="s">
        <v>51</v>
      </c>
      <c r="B24" s="2">
        <v>23928.947</v>
      </c>
      <c r="C24" s="2">
        <v>19395.257864588391</v>
      </c>
      <c r="D24" s="2">
        <v>4383</v>
      </c>
      <c r="E24" s="82">
        <v>0.22598307434738593</v>
      </c>
      <c r="F24" s="153">
        <v>0.18316727434767605</v>
      </c>
    </row>
    <row r="25" spans="1:8" ht="15" thickBot="1">
      <c r="A25" s="119" t="s">
        <v>52</v>
      </c>
      <c r="B25" s="2">
        <v>12612.959000000001</v>
      </c>
      <c r="C25" s="2">
        <v>9839.8804647992092</v>
      </c>
      <c r="D25" s="5">
        <v>853</v>
      </c>
      <c r="E25" s="82">
        <v>8.6688044946428747E-2</v>
      </c>
      <c r="F25" s="153">
        <v>6.7628856955770644E-2</v>
      </c>
    </row>
    <row r="26" spans="1:8" ht="15" thickBot="1">
      <c r="A26" s="119" t="s">
        <v>53</v>
      </c>
      <c r="B26" s="2">
        <v>174537.70600000001</v>
      </c>
      <c r="C26" s="2">
        <v>104932.67298437773</v>
      </c>
      <c r="D26" s="4">
        <v>160</v>
      </c>
      <c r="E26" s="82">
        <v>1.5247872321314129E-3</v>
      </c>
      <c r="F26" s="153">
        <v>9.1670736178920559E-4</v>
      </c>
    </row>
    <row r="27" spans="1:8" ht="15" thickBot="1">
      <c r="A27" s="119" t="s">
        <v>54</v>
      </c>
      <c r="B27" s="2">
        <v>87112.653999999995</v>
      </c>
      <c r="C27" s="2">
        <v>60023.357610676583</v>
      </c>
      <c r="D27" s="2">
        <v>30130</v>
      </c>
      <c r="E27" s="82">
        <v>0.50197125251521524</v>
      </c>
      <c r="F27" s="153">
        <v>0.34587397601271569</v>
      </c>
    </row>
    <row r="28" spans="1:8" ht="15" thickBot="1">
      <c r="A28" s="119" t="s">
        <v>55</v>
      </c>
      <c r="B28" s="2">
        <v>2871414.3330000001</v>
      </c>
      <c r="C28" s="2">
        <v>2250882.1414070716</v>
      </c>
      <c r="D28" s="2">
        <v>230919.95</v>
      </c>
      <c r="E28" s="82">
        <v>0.10259086682150639</v>
      </c>
      <c r="F28" s="153">
        <v>8.0420281861147899E-2</v>
      </c>
      <c r="H28" s="150"/>
    </row>
    <row r="29" spans="1:8" ht="15" thickBot="1">
      <c r="A29" s="119" t="s">
        <v>70</v>
      </c>
      <c r="B29" s="2">
        <v>445517.01199999999</v>
      </c>
      <c r="C29" s="2">
        <v>356086.87986944988</v>
      </c>
      <c r="D29" s="2">
        <v>6500</v>
      </c>
      <c r="E29" s="82">
        <v>1.8253972183370132E-2</v>
      </c>
      <c r="F29" s="153">
        <v>1.4589790793443372E-2</v>
      </c>
    </row>
    <row r="30" spans="1:8" ht="15" thickBot="1">
      <c r="A30" s="125" t="s">
        <v>58</v>
      </c>
      <c r="B30" s="7"/>
      <c r="C30" s="7"/>
      <c r="D30" s="7">
        <v>4478</v>
      </c>
      <c r="E30" s="86"/>
      <c r="F30" s="156"/>
    </row>
    <row r="31" spans="1:8" ht="15" thickBot="1">
      <c r="A31" s="119" t="s">
        <v>59</v>
      </c>
      <c r="B31" s="2">
        <v>53299.821000000004</v>
      </c>
      <c r="C31" s="2">
        <v>42267.787643146366</v>
      </c>
      <c r="D31" s="2">
        <v>1513</v>
      </c>
      <c r="E31" s="82">
        <v>3.5795580615048582E-2</v>
      </c>
      <c r="F31" s="153">
        <v>2.8386586889288051E-2</v>
      </c>
    </row>
    <row r="32" spans="1:8" ht="15" thickBot="1">
      <c r="A32" s="126" t="s">
        <v>60</v>
      </c>
      <c r="B32" s="157">
        <v>185918.2</v>
      </c>
      <c r="C32" s="157">
        <v>126579.48274749152</v>
      </c>
      <c r="D32" s="157">
        <v>26418</v>
      </c>
      <c r="E32" s="158">
        <v>0.20870680956012624</v>
      </c>
      <c r="F32" s="159">
        <v>0.14209474919615184</v>
      </c>
    </row>
    <row r="33" spans="1:6">
      <c r="A33" s="56"/>
      <c r="B33" s="56"/>
      <c r="C33" s="56"/>
      <c r="D33" s="56"/>
      <c r="E33" s="56"/>
      <c r="F33" s="56"/>
    </row>
    <row r="34" spans="1:6">
      <c r="A34" s="56" t="s">
        <v>71</v>
      </c>
      <c r="B34" s="56"/>
      <c r="C34" s="56"/>
      <c r="D34" s="56"/>
      <c r="E34" s="56"/>
      <c r="F34" s="56"/>
    </row>
    <row r="35" spans="1:6" ht="15" customHeight="1">
      <c r="A35" s="19" t="s">
        <v>72</v>
      </c>
      <c r="B35" s="150"/>
      <c r="C35" s="150"/>
      <c r="D35" s="150"/>
      <c r="E35" s="150"/>
      <c r="F35" s="150"/>
    </row>
    <row r="36" spans="1:6">
      <c r="A36" s="152" t="s">
        <v>73</v>
      </c>
      <c r="B36" s="150"/>
      <c r="C36" s="150"/>
      <c r="D36" s="150"/>
      <c r="E36" s="150"/>
      <c r="F36" s="150"/>
    </row>
    <row r="37" spans="1:6">
      <c r="A37" s="19" t="s">
        <v>74</v>
      </c>
      <c r="B37" s="150"/>
      <c r="C37" s="150"/>
      <c r="D37" s="150"/>
      <c r="E37" s="150"/>
      <c r="F37" s="150"/>
    </row>
    <row r="38" spans="1:6">
      <c r="A38" s="152"/>
      <c r="B38" s="56"/>
      <c r="C38" s="56"/>
      <c r="D38" s="56"/>
    </row>
    <row r="40" spans="1:6" ht="18.600000000000001" thickBot="1">
      <c r="A40" s="114" t="s">
        <v>75</v>
      </c>
    </row>
    <row r="41" spans="1:6" ht="38.4" thickBot="1">
      <c r="A41" s="164" t="s">
        <v>21</v>
      </c>
      <c r="B41" s="165" t="s">
        <v>64</v>
      </c>
      <c r="C41" s="165" t="s">
        <v>65</v>
      </c>
      <c r="D41" s="165" t="s">
        <v>66</v>
      </c>
      <c r="E41" s="165" t="s">
        <v>76</v>
      </c>
      <c r="F41" s="166" t="s">
        <v>68</v>
      </c>
    </row>
    <row r="42" spans="1:6" ht="15" thickBot="1">
      <c r="A42" s="167" t="s">
        <v>27</v>
      </c>
      <c r="B42" s="87">
        <v>30001.707999999999</v>
      </c>
      <c r="C42" s="87">
        <v>17420.964999999997</v>
      </c>
      <c r="D42" s="87">
        <v>6630</v>
      </c>
      <c r="E42" s="88">
        <v>0.38057593250431315</v>
      </c>
      <c r="F42" s="168">
        <v>0.22098741844964295</v>
      </c>
    </row>
    <row r="43" spans="1:6" ht="15" thickBot="1">
      <c r="A43" s="167" t="s">
        <v>69</v>
      </c>
      <c r="B43" s="87">
        <v>53450.885999999999</v>
      </c>
      <c r="C43" s="87">
        <v>31632.385999999995</v>
      </c>
      <c r="D43" s="89">
        <v>156.19999999999999</v>
      </c>
      <c r="E43" s="88">
        <v>4.9379771731414765E-3</v>
      </c>
      <c r="F43" s="168">
        <v>2.9223089024193161E-3</v>
      </c>
    </row>
    <row r="44" spans="1:6" ht="15" thickBot="1">
      <c r="A44" s="167" t="s">
        <v>29</v>
      </c>
      <c r="B44" s="87">
        <v>14319.066000000001</v>
      </c>
      <c r="C44" s="87">
        <v>5848.5190000000002</v>
      </c>
      <c r="D44" s="87">
        <v>1293</v>
      </c>
      <c r="E44" s="88">
        <v>0.22108161057525844</v>
      </c>
      <c r="F44" s="168">
        <v>9.0299185715045929E-2</v>
      </c>
    </row>
    <row r="45" spans="1:6" ht="15" thickBot="1">
      <c r="A45" s="167" t="s">
        <v>31</v>
      </c>
      <c r="B45" s="87">
        <v>9682.0529999999999</v>
      </c>
      <c r="C45" s="87">
        <v>3822.453</v>
      </c>
      <c r="D45" s="90">
        <v>387</v>
      </c>
      <c r="E45" s="88">
        <v>0.10124388710600235</v>
      </c>
      <c r="F45" s="168">
        <v>3.9970861551780396E-2</v>
      </c>
    </row>
    <row r="46" spans="1:6" ht="15" thickBot="1">
      <c r="A46" s="167" t="s">
        <v>32</v>
      </c>
      <c r="B46" s="87">
        <v>36375.932000000001</v>
      </c>
      <c r="C46" s="87">
        <v>20348.409</v>
      </c>
      <c r="D46" s="87">
        <v>4029</v>
      </c>
      <c r="E46" s="88">
        <v>0.19800073804295953</v>
      </c>
      <c r="F46" s="168">
        <v>0.11076004870473147</v>
      </c>
    </row>
    <row r="47" spans="1:6" ht="15" thickBot="1">
      <c r="A47" s="167" t="s">
        <v>33</v>
      </c>
      <c r="B47" s="87">
        <v>22965.121999999999</v>
      </c>
      <c r="C47" s="87">
        <v>12668.755999999999</v>
      </c>
      <c r="D47" s="87">
        <v>9211</v>
      </c>
      <c r="E47" s="88">
        <v>0.72706428318613137</v>
      </c>
      <c r="F47" s="168">
        <v>0.40108648236225353</v>
      </c>
    </row>
    <row r="48" spans="1:6" ht="15" thickBot="1">
      <c r="A48" s="167" t="s">
        <v>34</v>
      </c>
      <c r="B48" s="87">
        <v>5701.826</v>
      </c>
      <c r="C48" s="87">
        <v>2768.826</v>
      </c>
      <c r="D48" s="87">
        <v>1417</v>
      </c>
      <c r="E48" s="88">
        <v>0.51176924804953439</v>
      </c>
      <c r="F48" s="168">
        <v>0.24851687862800442</v>
      </c>
    </row>
    <row r="49" spans="1:6" ht="15" thickBot="1">
      <c r="A49" s="167" t="s">
        <v>35</v>
      </c>
      <c r="B49" s="87">
        <v>35797.224000000002</v>
      </c>
      <c r="C49" s="87">
        <v>17597.224000000002</v>
      </c>
      <c r="D49" s="87">
        <v>12375</v>
      </c>
      <c r="E49" s="88">
        <v>0.70323591948366393</v>
      </c>
      <c r="F49" s="168">
        <v>0.34569719707874552</v>
      </c>
    </row>
    <row r="50" spans="1:6" ht="15" thickBot="1">
      <c r="A50" s="167" t="s">
        <v>36</v>
      </c>
      <c r="B50" s="87">
        <v>258051.00899999999</v>
      </c>
      <c r="C50" s="87">
        <v>117559.55899999996</v>
      </c>
      <c r="D50" s="87">
        <v>8000</v>
      </c>
      <c r="E50" s="88">
        <v>6.8050612541001476E-2</v>
      </c>
      <c r="F50" s="168">
        <v>3.1001622628803596E-2</v>
      </c>
    </row>
    <row r="51" spans="1:6" ht="15" thickBot="1">
      <c r="A51" s="167" t="s">
        <v>37</v>
      </c>
      <c r="B51" s="87">
        <v>337772.47600000002</v>
      </c>
      <c r="C51" s="87">
        <v>200953.47600000002</v>
      </c>
      <c r="D51" s="87">
        <v>37856</v>
      </c>
      <c r="E51" s="88">
        <v>0.18838191184112682</v>
      </c>
      <c r="F51" s="168">
        <v>0.11207544335258388</v>
      </c>
    </row>
    <row r="52" spans="1:6" ht="15" thickBot="1">
      <c r="A52" s="169" t="s">
        <v>38</v>
      </c>
      <c r="B52" s="87">
        <v>24345.933000000001</v>
      </c>
      <c r="C52" s="87">
        <v>6538.1830000000009</v>
      </c>
      <c r="D52" s="90"/>
      <c r="E52" s="88"/>
      <c r="F52" s="168"/>
    </row>
    <row r="53" spans="1:6" ht="15" thickBot="1">
      <c r="A53" s="167" t="s">
        <v>39</v>
      </c>
      <c r="B53" s="87">
        <v>24407.55</v>
      </c>
      <c r="C53" s="87">
        <v>15867.550000000001</v>
      </c>
      <c r="D53" s="87">
        <v>1790</v>
      </c>
      <c r="E53" s="88">
        <v>0.11280884572602574</v>
      </c>
      <c r="F53" s="168">
        <v>7.3337963048319063E-2</v>
      </c>
    </row>
    <row r="54" spans="1:6" ht="15" thickBot="1">
      <c r="A54" s="169" t="s">
        <v>40</v>
      </c>
      <c r="B54" s="87">
        <v>20035.725999999999</v>
      </c>
      <c r="C54" s="87">
        <v>8182.3239999999996</v>
      </c>
      <c r="D54" s="90"/>
      <c r="E54" s="88"/>
      <c r="F54" s="168"/>
    </row>
    <row r="55" spans="1:6" ht="15" thickBot="1">
      <c r="A55" s="167" t="s">
        <v>41</v>
      </c>
      <c r="B55" s="87">
        <v>220995.514</v>
      </c>
      <c r="C55" s="87">
        <v>126505.71600000001</v>
      </c>
      <c r="D55" s="87">
        <v>3100</v>
      </c>
      <c r="E55" s="88">
        <v>2.4504821584504528E-2</v>
      </c>
      <c r="F55" s="168">
        <v>1.4027434059136604E-2</v>
      </c>
    </row>
    <row r="56" spans="1:6" ht="15" thickBot="1">
      <c r="A56" s="167" t="s">
        <v>42</v>
      </c>
      <c r="B56" s="87">
        <v>6885.4870000000001</v>
      </c>
      <c r="C56" s="87">
        <v>4029.48</v>
      </c>
      <c r="D56" s="87">
        <v>1500</v>
      </c>
      <c r="E56" s="88">
        <v>0.37225646981744542</v>
      </c>
      <c r="F56" s="168">
        <v>0.21784951449331036</v>
      </c>
    </row>
    <row r="57" spans="1:6" ht="15" thickBot="1">
      <c r="A57" s="167" t="s">
        <v>43</v>
      </c>
      <c r="B57" s="87">
        <v>7573.19</v>
      </c>
      <c r="C57" s="87">
        <v>4136.6899999999996</v>
      </c>
      <c r="D57" s="87">
        <v>2065</v>
      </c>
      <c r="E57" s="88">
        <v>0.49919138248212946</v>
      </c>
      <c r="F57" s="168">
        <v>0.27267241413459853</v>
      </c>
    </row>
    <row r="58" spans="1:6" ht="15" thickBot="1">
      <c r="A58" s="167" t="s">
        <v>44</v>
      </c>
      <c r="B58" s="87">
        <v>5563.3829999999998</v>
      </c>
      <c r="C58" s="87">
        <v>3296.6779999999999</v>
      </c>
      <c r="D58" s="90">
        <v>773</v>
      </c>
      <c r="E58" s="88">
        <v>0.23447846589809501</v>
      </c>
      <c r="F58" s="168">
        <v>0.13894423590825941</v>
      </c>
    </row>
    <row r="59" spans="1:6" ht="15" thickBot="1">
      <c r="A59" s="167" t="s">
        <v>46</v>
      </c>
      <c r="B59" s="87">
        <v>80484.959000000003</v>
      </c>
      <c r="C59" s="87">
        <v>43612.933999999994</v>
      </c>
      <c r="D59" s="87">
        <v>2065</v>
      </c>
      <c r="E59" s="88">
        <v>4.7348339371068235E-2</v>
      </c>
      <c r="F59" s="168">
        <v>2.5656967782017506E-2</v>
      </c>
    </row>
    <row r="60" spans="1:6" ht="15" thickBot="1">
      <c r="A60" s="167" t="s">
        <v>47</v>
      </c>
      <c r="B60" s="87">
        <v>92208.71</v>
      </c>
      <c r="C60" s="87">
        <v>42767.560000000005</v>
      </c>
      <c r="D60" s="87">
        <v>11614</v>
      </c>
      <c r="E60" s="88">
        <v>0.27156096817307318</v>
      </c>
      <c r="F60" s="168">
        <v>0.12595339420755369</v>
      </c>
    </row>
    <row r="61" spans="1:6" ht="15" thickBot="1">
      <c r="A61" s="167" t="s">
        <v>48</v>
      </c>
      <c r="B61" s="87">
        <v>27685.847000000002</v>
      </c>
      <c r="C61" s="87">
        <v>10936.203000000001</v>
      </c>
      <c r="D61" s="90">
        <v>31</v>
      </c>
      <c r="E61" s="88">
        <v>2.8346218518438254E-3</v>
      </c>
      <c r="F61" s="168">
        <v>1.1197056748886896E-3</v>
      </c>
    </row>
    <row r="62" spans="1:6" ht="15" thickBot="1">
      <c r="A62" s="167" t="s">
        <v>50</v>
      </c>
      <c r="B62" s="87">
        <v>22982.629000000001</v>
      </c>
      <c r="C62" s="87">
        <v>14229.943000000001</v>
      </c>
      <c r="D62" s="87">
        <v>2540</v>
      </c>
      <c r="E62" s="88">
        <v>0.17849684991710787</v>
      </c>
      <c r="F62" s="168">
        <v>0.11051825272034804</v>
      </c>
    </row>
    <row r="63" spans="1:6" ht="15" thickBot="1">
      <c r="A63" s="167" t="s">
        <v>51</v>
      </c>
      <c r="B63" s="87">
        <v>15290.266</v>
      </c>
      <c r="C63" s="87">
        <v>8072.2659999999996</v>
      </c>
      <c r="D63" s="87">
        <v>4348</v>
      </c>
      <c r="E63" s="88">
        <v>0.53863438097803018</v>
      </c>
      <c r="F63" s="168">
        <v>0.28436392146480644</v>
      </c>
    </row>
    <row r="64" spans="1:6" ht="15" thickBot="1">
      <c r="A64" s="167" t="s">
        <v>52</v>
      </c>
      <c r="B64" s="87">
        <v>5519.183</v>
      </c>
      <c r="C64" s="87">
        <v>1923.6569999999999</v>
      </c>
      <c r="D64" s="90">
        <v>688</v>
      </c>
      <c r="E64" s="88">
        <v>0.35765211781518225</v>
      </c>
      <c r="F64" s="168">
        <v>0.12465613117013877</v>
      </c>
    </row>
    <row r="65" spans="1:6" ht="15" thickBot="1">
      <c r="A65" s="167" t="s">
        <v>53</v>
      </c>
      <c r="B65" s="87">
        <v>130091.21400000001</v>
      </c>
      <c r="C65" s="87">
        <v>55578.214000000007</v>
      </c>
      <c r="D65" s="90">
        <v>256</v>
      </c>
      <c r="E65" s="88">
        <v>4.6061213841812184E-3</v>
      </c>
      <c r="F65" s="168">
        <v>1.9678500348224901E-3</v>
      </c>
    </row>
    <row r="66" spans="1:6" ht="15" thickBot="1">
      <c r="A66" s="167" t="s">
        <v>54</v>
      </c>
      <c r="B66" s="87">
        <v>47925.224999999999</v>
      </c>
      <c r="C66" s="87">
        <v>19913.224999999995</v>
      </c>
      <c r="D66" s="87">
        <v>14761</v>
      </c>
      <c r="E66" s="88">
        <v>0.74126616858896555</v>
      </c>
      <c r="F66" s="168">
        <v>0.30800064058123883</v>
      </c>
    </row>
    <row r="67" spans="1:6" ht="15" thickBot="1">
      <c r="A67" s="170" t="s">
        <v>55</v>
      </c>
      <c r="B67" s="91">
        <v>1540713.5349999999</v>
      </c>
      <c r="C67" s="91">
        <v>797520.03899999987</v>
      </c>
      <c r="D67" s="91">
        <v>126885.2</v>
      </c>
      <c r="E67" s="92">
        <v>0.1590997013179753</v>
      </c>
      <c r="F67" s="175">
        <v>8.235482918633541E-2</v>
      </c>
    </row>
    <row r="68" spans="1:6" ht="15" thickBot="1">
      <c r="A68" s="167" t="s">
        <v>70</v>
      </c>
      <c r="B68" s="87">
        <v>211926.495</v>
      </c>
      <c r="C68" s="87">
        <v>119717.539</v>
      </c>
      <c r="D68" s="87">
        <v>5500</v>
      </c>
      <c r="E68" s="88">
        <v>4.594147228502584E-2</v>
      </c>
      <c r="F68" s="168">
        <v>2.5952394484700936E-2</v>
      </c>
    </row>
    <row r="69" spans="1:6" ht="15" thickBot="1">
      <c r="A69" s="167" t="s">
        <v>58</v>
      </c>
      <c r="B69" s="87"/>
      <c r="C69" s="87"/>
      <c r="D69" s="87">
        <v>3829</v>
      </c>
      <c r="E69" s="88"/>
      <c r="F69" s="168"/>
    </row>
    <row r="70" spans="1:6" ht="15" thickBot="1">
      <c r="A70" s="167" t="s">
        <v>59</v>
      </c>
      <c r="B70" s="87">
        <v>37625.207999999999</v>
      </c>
      <c r="C70" s="87">
        <v>12260.207999999997</v>
      </c>
      <c r="D70" s="87">
        <v>3364</v>
      </c>
      <c r="E70" s="88">
        <v>0.27438359936470907</v>
      </c>
      <c r="F70" s="168">
        <v>8.9408143604149642E-2</v>
      </c>
    </row>
    <row r="71" spans="1:6" ht="15" thickBot="1">
      <c r="A71" s="171" t="s">
        <v>60</v>
      </c>
      <c r="B71" s="173">
        <v>54900.894999999997</v>
      </c>
      <c r="C71" s="173">
        <v>34766.894999999997</v>
      </c>
      <c r="D71" s="173">
        <v>17345</v>
      </c>
      <c r="E71" s="176">
        <v>0.49889413477965178</v>
      </c>
      <c r="F71" s="174">
        <v>0.31593291876207119</v>
      </c>
    </row>
    <row r="73" spans="1:6">
      <c r="A73" s="56" t="s">
        <v>71</v>
      </c>
    </row>
    <row r="74" spans="1:6">
      <c r="A74" s="19" t="s">
        <v>72</v>
      </c>
    </row>
    <row r="75" spans="1:6">
      <c r="A75" s="152" t="s">
        <v>73</v>
      </c>
    </row>
    <row r="76" spans="1:6">
      <c r="A76" s="19" t="s">
        <v>74</v>
      </c>
    </row>
    <row r="79" spans="1:6" ht="18.600000000000001" thickBot="1">
      <c r="A79" s="114" t="s">
        <v>77</v>
      </c>
    </row>
    <row r="80" spans="1:6" ht="38.4" thickBot="1">
      <c r="A80" s="164" t="s">
        <v>21</v>
      </c>
      <c r="B80" s="165" t="s">
        <v>64</v>
      </c>
      <c r="C80" s="165" t="s">
        <v>66</v>
      </c>
      <c r="D80" s="166" t="s">
        <v>68</v>
      </c>
    </row>
    <row r="81" spans="1:4" ht="15" thickBot="1">
      <c r="A81" s="167" t="s">
        <v>27</v>
      </c>
      <c r="B81" s="93">
        <v>87738.960999999996</v>
      </c>
      <c r="C81" s="93">
        <v>3120</v>
      </c>
      <c r="D81" s="168">
        <v>3.5560029027469339E-2</v>
      </c>
    </row>
    <row r="82" spans="1:4" ht="15" thickBot="1">
      <c r="A82" s="167" t="s">
        <v>28</v>
      </c>
      <c r="B82" s="93">
        <v>124642.537</v>
      </c>
      <c r="C82" s="89">
        <v>95.850000000000009</v>
      </c>
      <c r="D82" s="168">
        <v>7.6899910983037844E-4</v>
      </c>
    </row>
    <row r="83" spans="1:4" ht="15" thickBot="1">
      <c r="A83" s="167" t="s">
        <v>29</v>
      </c>
      <c r="B83" s="93">
        <v>31756.643</v>
      </c>
      <c r="C83" s="90">
        <v>629</v>
      </c>
      <c r="D83" s="168">
        <v>1.9806879461409067E-2</v>
      </c>
    </row>
    <row r="84" spans="1:4" ht="15" thickBot="1">
      <c r="A84" s="167" t="s">
        <v>31</v>
      </c>
      <c r="B84" s="93">
        <v>13512.35</v>
      </c>
      <c r="C84" s="90">
        <v>314</v>
      </c>
      <c r="D84" s="168">
        <v>2.323800079186818E-2</v>
      </c>
    </row>
    <row r="85" spans="1:4" ht="15" thickBot="1">
      <c r="A85" s="167" t="s">
        <v>32</v>
      </c>
      <c r="B85" s="93">
        <v>77853.656000000003</v>
      </c>
      <c r="C85" s="87">
        <v>5693</v>
      </c>
      <c r="D85" s="168">
        <v>7.3124375816082415E-2</v>
      </c>
    </row>
    <row r="86" spans="1:4" ht="15" thickBot="1">
      <c r="A86" s="167" t="s">
        <v>33</v>
      </c>
      <c r="B86" s="93">
        <v>27104.481</v>
      </c>
      <c r="C86" s="87">
        <v>1410</v>
      </c>
      <c r="D86" s="168">
        <v>5.2020918607517334E-2</v>
      </c>
    </row>
    <row r="87" spans="1:4" ht="15" thickBot="1">
      <c r="A87" s="167" t="s">
        <v>34</v>
      </c>
      <c r="B87" s="93">
        <v>5668.4489999999996</v>
      </c>
      <c r="C87" s="90">
        <v>416</v>
      </c>
      <c r="D87" s="168">
        <v>7.3388681806963424E-2</v>
      </c>
    </row>
    <row r="88" spans="1:4" ht="15" thickBot="1">
      <c r="A88" s="167" t="s">
        <v>35</v>
      </c>
      <c r="B88" s="93">
        <v>129515.19</v>
      </c>
      <c r="C88" s="87">
        <v>3035</v>
      </c>
      <c r="D88" s="168">
        <v>2.3433544744828772E-2</v>
      </c>
    </row>
    <row r="89" spans="1:4" ht="15" thickBot="1">
      <c r="A89" s="167" t="s">
        <v>36</v>
      </c>
      <c r="B89" s="93">
        <v>328146.07400000002</v>
      </c>
      <c r="C89" s="87">
        <v>3400</v>
      </c>
      <c r="D89" s="168">
        <v>1.0361239305883025E-2</v>
      </c>
    </row>
    <row r="90" spans="1:4" ht="15" thickBot="1">
      <c r="A90" s="167" t="s">
        <v>37</v>
      </c>
      <c r="B90" s="93">
        <v>663939.83100000001</v>
      </c>
      <c r="C90" s="87">
        <v>22043</v>
      </c>
      <c r="D90" s="168">
        <v>3.3200297633596859E-2</v>
      </c>
    </row>
    <row r="91" spans="1:4" ht="15" thickBot="1">
      <c r="A91" s="169" t="s">
        <v>38</v>
      </c>
      <c r="B91" s="93">
        <v>31852.867999999999</v>
      </c>
      <c r="C91" s="90"/>
      <c r="D91" s="168">
        <v>0</v>
      </c>
    </row>
    <row r="92" spans="1:4" ht="15" thickBot="1">
      <c r="A92" s="167" t="s">
        <v>39</v>
      </c>
      <c r="B92" s="93">
        <v>51633.387999999999</v>
      </c>
      <c r="C92" s="90"/>
      <c r="D92" s="168">
        <v>0</v>
      </c>
    </row>
    <row r="93" spans="1:4" ht="15" thickBot="1">
      <c r="A93" s="169" t="s">
        <v>40</v>
      </c>
      <c r="B93" s="93">
        <v>26610.992999999999</v>
      </c>
      <c r="C93" s="90"/>
      <c r="D93" s="168">
        <v>0</v>
      </c>
    </row>
    <row r="94" spans="1:4" ht="15" thickBot="1">
      <c r="A94" s="167" t="s">
        <v>41</v>
      </c>
      <c r="B94" s="93">
        <v>286840.62699999998</v>
      </c>
      <c r="C94" s="90">
        <v>289</v>
      </c>
      <c r="D94" s="168">
        <v>1.0075281281545936E-3</v>
      </c>
    </row>
    <row r="95" spans="1:4" ht="15" thickBot="1">
      <c r="A95" s="167" t="s">
        <v>42</v>
      </c>
      <c r="B95" s="93">
        <v>10442.486000000001</v>
      </c>
      <c r="C95" s="90">
        <v>942</v>
      </c>
      <c r="D95" s="168">
        <v>9.0208404397190467E-2</v>
      </c>
    </row>
    <row r="96" spans="1:4" ht="15" thickBot="1">
      <c r="A96" s="167" t="s">
        <v>43</v>
      </c>
      <c r="B96" s="93">
        <v>12869.612999999999</v>
      </c>
      <c r="C96" s="90"/>
      <c r="D96" s="168">
        <v>0</v>
      </c>
    </row>
    <row r="97" spans="1:4" ht="15" thickBot="1">
      <c r="A97" s="167" t="s">
        <v>44</v>
      </c>
      <c r="B97" s="93">
        <v>7361.1679999999997</v>
      </c>
      <c r="C97" s="90">
        <v>6</v>
      </c>
      <c r="D97" s="168">
        <v>8.1508804037620124E-4</v>
      </c>
    </row>
    <row r="98" spans="1:4" ht="15" thickBot="1">
      <c r="A98" s="167" t="s">
        <v>46</v>
      </c>
      <c r="B98" s="93">
        <v>158564.481</v>
      </c>
      <c r="C98" s="87">
        <v>1300</v>
      </c>
      <c r="D98" s="168">
        <v>8.1985574058038892E-3</v>
      </c>
    </row>
    <row r="99" spans="1:4" ht="15" thickBot="1">
      <c r="A99" s="167" t="s">
        <v>47</v>
      </c>
      <c r="B99" s="93">
        <v>190303.52600000001</v>
      </c>
      <c r="C99" s="87">
        <v>9624</v>
      </c>
      <c r="D99" s="168">
        <v>5.0571842793916487E-2</v>
      </c>
    </row>
    <row r="100" spans="1:4" ht="15" thickBot="1">
      <c r="A100" s="167" t="s">
        <v>48</v>
      </c>
      <c r="B100" s="93">
        <v>52961.872000000003</v>
      </c>
      <c r="C100" s="90" t="s">
        <v>49</v>
      </c>
      <c r="D100" s="168"/>
    </row>
    <row r="101" spans="1:4" ht="15" thickBot="1">
      <c r="A101" s="167" t="s">
        <v>50</v>
      </c>
      <c r="B101" s="93">
        <v>76902.596000000005</v>
      </c>
      <c r="C101" s="90"/>
      <c r="D101" s="168">
        <v>0</v>
      </c>
    </row>
    <row r="102" spans="1:4" ht="15" thickBot="1">
      <c r="A102" s="167" t="s">
        <v>51</v>
      </c>
      <c r="B102" s="93">
        <v>42595.330999999998</v>
      </c>
      <c r="C102" s="87">
        <v>5540</v>
      </c>
      <c r="D102" s="168">
        <v>0.13006120318679998</v>
      </c>
    </row>
    <row r="103" spans="1:4" ht="15" thickBot="1">
      <c r="A103" s="167" t="s">
        <v>52</v>
      </c>
      <c r="B103" s="93">
        <v>15341.073</v>
      </c>
      <c r="C103" s="90">
        <v>356</v>
      </c>
      <c r="D103" s="168">
        <v>2.3205677986148688E-2</v>
      </c>
    </row>
    <row r="104" spans="1:4" ht="15" thickBot="1">
      <c r="A104" s="167" t="s">
        <v>53</v>
      </c>
      <c r="B104" s="93">
        <v>233468.40400000001</v>
      </c>
      <c r="C104" s="90">
        <v>117</v>
      </c>
      <c r="D104" s="168">
        <v>5.0113847525166619E-4</v>
      </c>
    </row>
    <row r="105" spans="1:4" ht="15" thickBot="1">
      <c r="A105" s="167" t="s">
        <v>54</v>
      </c>
      <c r="B105" s="93">
        <v>128085.58100000001</v>
      </c>
      <c r="C105" s="87">
        <v>6060</v>
      </c>
      <c r="D105" s="168">
        <v>4.7312117044618782E-2</v>
      </c>
    </row>
    <row r="106" spans="1:4" ht="15" thickBot="1">
      <c r="A106" s="170" t="s">
        <v>55</v>
      </c>
      <c r="B106" s="93">
        <v>2819006.6</v>
      </c>
      <c r="C106" s="91">
        <v>64389.85</v>
      </c>
      <c r="D106" s="168">
        <v>2.2841326444570934E-2</v>
      </c>
    </row>
    <row r="107" spans="1:4" ht="15" thickBot="1">
      <c r="A107" s="167" t="s">
        <v>56</v>
      </c>
      <c r="B107" s="93">
        <v>252247.117</v>
      </c>
      <c r="C107" s="90"/>
      <c r="D107" s="168">
        <v>0</v>
      </c>
    </row>
    <row r="108" spans="1:4" ht="15" thickBot="1">
      <c r="A108" s="167" t="s">
        <v>58</v>
      </c>
      <c r="B108" s="93"/>
      <c r="C108" s="90">
        <v>261</v>
      </c>
      <c r="D108" s="168"/>
    </row>
    <row r="109" spans="1:4" ht="15" thickBot="1">
      <c r="A109" s="167" t="s">
        <v>59</v>
      </c>
      <c r="B109" s="93">
        <v>71508.009000000005</v>
      </c>
      <c r="C109" s="90">
        <v>766</v>
      </c>
      <c r="D109" s="168">
        <v>1.0712086809744625E-2</v>
      </c>
    </row>
    <row r="110" spans="1:4" ht="15" thickBot="1">
      <c r="A110" s="171" t="s">
        <v>60</v>
      </c>
      <c r="B110" s="172">
        <v>190920.663</v>
      </c>
      <c r="C110" s="173">
        <v>11246</v>
      </c>
      <c r="D110" s="174">
        <v>5.8904048536642675E-2</v>
      </c>
    </row>
    <row r="112" spans="1:4">
      <c r="A112" s="56" t="s">
        <v>71</v>
      </c>
    </row>
    <row r="113" spans="1:1">
      <c r="A113" s="19" t="s">
        <v>72</v>
      </c>
    </row>
    <row r="114" spans="1:1">
      <c r="A114" s="152" t="s">
        <v>73</v>
      </c>
    </row>
    <row r="115" spans="1:1">
      <c r="A115" s="19" t="s">
        <v>74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3483-3082-489C-B539-8BF908F7A3FA}">
  <dimension ref="A1:E34"/>
  <sheetViews>
    <sheetView workbookViewId="0">
      <selection activeCell="H34" sqref="H34"/>
    </sheetView>
  </sheetViews>
  <sheetFormatPr defaultColWidth="11.44140625" defaultRowHeight="14.4"/>
  <cols>
    <col min="1" max="1" width="16.5546875" style="19" bestFit="1" customWidth="1"/>
    <col min="2" max="2" width="16.6640625" style="19" customWidth="1"/>
    <col min="3" max="3" width="15" style="19" bestFit="1" customWidth="1"/>
    <col min="4" max="4" width="5.6640625" style="19" hidden="1" customWidth="1"/>
    <col min="5" max="5" width="11.44140625" style="19"/>
    <col min="6" max="6" width="10.109375" style="19" customWidth="1"/>
    <col min="7" max="16384" width="11.44140625" style="19"/>
  </cols>
  <sheetData>
    <row r="1" spans="1:5" ht="18.600000000000001" thickBot="1">
      <c r="A1" s="11" t="s">
        <v>78</v>
      </c>
      <c r="B1"/>
      <c r="C1"/>
      <c r="D1"/>
      <c r="E1"/>
    </row>
    <row r="2" spans="1:5" ht="38.4" thickBot="1">
      <c r="A2" s="143" t="s">
        <v>21</v>
      </c>
      <c r="B2" s="131" t="s">
        <v>79</v>
      </c>
      <c r="C2" s="131" t="s">
        <v>80</v>
      </c>
      <c r="D2" s="137" t="s">
        <v>81</v>
      </c>
      <c r="E2" s="132" t="s">
        <v>26</v>
      </c>
    </row>
    <row r="3" spans="1:5" ht="15" thickBot="1">
      <c r="A3" s="119" t="s">
        <v>27</v>
      </c>
      <c r="B3" s="8">
        <v>130</v>
      </c>
      <c r="C3" s="8">
        <v>142.5</v>
      </c>
      <c r="D3" s="17">
        <v>19</v>
      </c>
      <c r="E3" s="144">
        <v>16</v>
      </c>
    </row>
    <row r="4" spans="1:5" ht="15" thickBot="1">
      <c r="A4" s="119" t="s">
        <v>82</v>
      </c>
      <c r="B4" s="8">
        <v>0.6</v>
      </c>
      <c r="C4" s="8">
        <v>0.5</v>
      </c>
      <c r="D4" s="17"/>
      <c r="E4" s="144">
        <v>16</v>
      </c>
    </row>
    <row r="5" spans="1:5" ht="15" thickBot="1">
      <c r="A5" s="119" t="s">
        <v>29</v>
      </c>
      <c r="B5" s="8">
        <v>0.5</v>
      </c>
      <c r="C5" s="8">
        <v>0.1</v>
      </c>
      <c r="D5" s="17"/>
      <c r="E5" s="144">
        <v>16</v>
      </c>
    </row>
    <row r="6" spans="1:5" ht="15" thickBot="1">
      <c r="A6" s="119" t="s">
        <v>30</v>
      </c>
      <c r="B6" s="8"/>
      <c r="C6" s="8"/>
      <c r="D6" s="17"/>
      <c r="E6" s="144"/>
    </row>
    <row r="7" spans="1:5" ht="15" thickBot="1">
      <c r="A7" s="119" t="s">
        <v>31</v>
      </c>
      <c r="B7" s="8">
        <v>6.9</v>
      </c>
      <c r="C7" s="8">
        <v>2</v>
      </c>
      <c r="D7" s="17"/>
      <c r="E7" s="144">
        <v>16</v>
      </c>
    </row>
    <row r="8" spans="1:5" ht="15" thickBot="1">
      <c r="A8" s="119" t="s">
        <v>32</v>
      </c>
      <c r="B8" s="8">
        <v>34.6</v>
      </c>
      <c r="C8" s="8">
        <v>18.5</v>
      </c>
      <c r="D8" s="17"/>
      <c r="E8" s="144">
        <v>16</v>
      </c>
    </row>
    <row r="9" spans="1:5" ht="15" thickBot="1">
      <c r="A9" s="119" t="s">
        <v>33</v>
      </c>
      <c r="B9" s="8">
        <v>21.8</v>
      </c>
      <c r="C9" s="8">
        <v>4.0999999999999996</v>
      </c>
      <c r="D9" s="17"/>
      <c r="E9" s="144">
        <v>16</v>
      </c>
    </row>
    <row r="10" spans="1:5" ht="15" thickBot="1">
      <c r="A10" s="119" t="s">
        <v>34</v>
      </c>
      <c r="B10" s="8">
        <v>13</v>
      </c>
      <c r="C10" s="8">
        <v>13</v>
      </c>
      <c r="D10" s="17"/>
      <c r="E10" s="144">
        <v>16</v>
      </c>
    </row>
    <row r="11" spans="1:5" ht="15" thickBot="1">
      <c r="A11" s="119" t="s">
        <v>35</v>
      </c>
      <c r="B11" s="8">
        <v>283</v>
      </c>
      <c r="C11" s="8">
        <v>211.4</v>
      </c>
      <c r="D11" s="17"/>
      <c r="E11" s="144">
        <v>16</v>
      </c>
    </row>
    <row r="12" spans="1:5" ht="15" thickBot="1">
      <c r="A12" s="119" t="s">
        <v>36</v>
      </c>
      <c r="B12" s="8">
        <v>761</v>
      </c>
      <c r="C12" s="8">
        <v>1061.5999999999999</v>
      </c>
      <c r="D12" s="17">
        <v>202</v>
      </c>
      <c r="E12" s="144">
        <v>16</v>
      </c>
    </row>
    <row r="13" spans="1:5" ht="15" thickBot="1">
      <c r="A13" s="119" t="s">
        <v>37</v>
      </c>
      <c r="B13" s="8">
        <v>241</v>
      </c>
      <c r="C13" s="8">
        <v>307.5</v>
      </c>
      <c r="D13" s="17">
        <v>78.5</v>
      </c>
      <c r="E13" s="144">
        <v>16</v>
      </c>
    </row>
    <row r="14" spans="1:5" ht="15" thickBot="1">
      <c r="A14" s="119" t="s">
        <v>38</v>
      </c>
      <c r="B14" s="8"/>
      <c r="C14" s="8"/>
      <c r="D14" s="17"/>
      <c r="E14" s="144"/>
    </row>
    <row r="15" spans="1:5" ht="15" thickBot="1">
      <c r="A15" s="119" t="s">
        <v>39</v>
      </c>
      <c r="B15" s="8">
        <v>1.2</v>
      </c>
      <c r="C15" s="8">
        <v>0.7</v>
      </c>
      <c r="D15" s="17"/>
      <c r="E15" s="144">
        <v>16</v>
      </c>
    </row>
    <row r="16" spans="1:5" ht="15" thickBot="1">
      <c r="A16" s="119" t="s">
        <v>40</v>
      </c>
      <c r="B16" s="8"/>
      <c r="C16" s="8"/>
      <c r="D16" s="17"/>
      <c r="E16" s="144"/>
    </row>
    <row r="17" spans="1:5" ht="15" thickBot="1">
      <c r="A17" s="119" t="s">
        <v>41</v>
      </c>
      <c r="B17" s="8">
        <v>202</v>
      </c>
      <c r="C17" s="8">
        <v>126.7</v>
      </c>
      <c r="D17" s="17"/>
      <c r="E17" s="144">
        <v>16</v>
      </c>
    </row>
    <row r="18" spans="1:5" ht="15" thickBot="1">
      <c r="A18" s="119" t="s">
        <v>42</v>
      </c>
      <c r="B18" s="8"/>
      <c r="C18" s="8"/>
      <c r="D18" s="17"/>
      <c r="E18" s="144"/>
    </row>
    <row r="19" spans="1:5" ht="15" thickBot="1">
      <c r="A19" s="119" t="s">
        <v>43</v>
      </c>
      <c r="B19" s="8"/>
      <c r="C19" s="8"/>
      <c r="D19" s="17"/>
      <c r="E19" s="144"/>
    </row>
    <row r="20" spans="1:5" ht="15" thickBot="1">
      <c r="A20" s="119" t="s">
        <v>44</v>
      </c>
      <c r="B20" s="8">
        <v>19</v>
      </c>
      <c r="C20" s="8">
        <v>22.9</v>
      </c>
      <c r="D20" s="17"/>
      <c r="E20" s="144">
        <v>16</v>
      </c>
    </row>
    <row r="21" spans="1:5" ht="15" thickBot="1">
      <c r="A21" s="119" t="s">
        <v>45</v>
      </c>
      <c r="B21" s="8"/>
      <c r="C21" s="8"/>
      <c r="D21" s="17"/>
      <c r="E21" s="144"/>
    </row>
    <row r="22" spans="1:5" ht="15" thickBot="1">
      <c r="A22" s="119" t="s">
        <v>46</v>
      </c>
      <c r="B22" s="8">
        <v>23</v>
      </c>
      <c r="C22" s="8">
        <v>19.600000000000001</v>
      </c>
      <c r="D22" s="17"/>
      <c r="E22" s="144">
        <v>16</v>
      </c>
    </row>
    <row r="23" spans="1:5" ht="15" thickBot="1">
      <c r="A23" s="119" t="s">
        <v>47</v>
      </c>
      <c r="B23" s="8">
        <v>43</v>
      </c>
      <c r="C23" s="8">
        <v>45.8</v>
      </c>
      <c r="D23" s="17"/>
      <c r="E23" s="144">
        <v>16</v>
      </c>
    </row>
    <row r="24" spans="1:5" ht="15" thickBot="1">
      <c r="A24" s="119" t="s">
        <v>48</v>
      </c>
      <c r="B24" s="8">
        <v>40</v>
      </c>
      <c r="C24" s="8">
        <v>69.400000000000006</v>
      </c>
      <c r="D24" s="17"/>
      <c r="E24" s="144">
        <v>16</v>
      </c>
    </row>
    <row r="25" spans="1:5" ht="15" thickBot="1">
      <c r="A25" s="119" t="s">
        <v>50</v>
      </c>
      <c r="B25" s="8"/>
      <c r="C25" s="8"/>
      <c r="D25" s="17"/>
      <c r="E25" s="144"/>
    </row>
    <row r="26" spans="1:5" ht="15" thickBot="1">
      <c r="A26" s="119" t="s">
        <v>51</v>
      </c>
      <c r="B26" s="8"/>
      <c r="C26" s="8"/>
      <c r="D26" s="17"/>
      <c r="E26" s="144"/>
    </row>
    <row r="27" spans="1:5" ht="15" thickBot="1">
      <c r="A27" s="119" t="s">
        <v>52</v>
      </c>
      <c r="B27" s="8">
        <v>4.9000000000000004</v>
      </c>
      <c r="C27" s="8">
        <v>1.5</v>
      </c>
      <c r="D27" s="17"/>
      <c r="E27" s="144">
        <v>16</v>
      </c>
    </row>
    <row r="28" spans="1:5" ht="15" thickBot="1">
      <c r="A28" s="119" t="s">
        <v>53</v>
      </c>
      <c r="B28" s="8">
        <v>122</v>
      </c>
      <c r="C28" s="8">
        <v>67.900000000000006</v>
      </c>
      <c r="D28" s="17"/>
      <c r="E28" s="144">
        <v>16</v>
      </c>
    </row>
    <row r="29" spans="1:5" ht="15" thickBot="1">
      <c r="A29" s="119" t="s">
        <v>54</v>
      </c>
      <c r="B29" s="8">
        <v>5787</v>
      </c>
      <c r="C29" s="8">
        <v>914.3</v>
      </c>
      <c r="D29" s="17">
        <v>639</v>
      </c>
      <c r="E29" s="144">
        <v>16</v>
      </c>
    </row>
    <row r="30" spans="1:5" ht="15" thickBot="1">
      <c r="A30" s="125" t="s">
        <v>83</v>
      </c>
      <c r="B30" s="9">
        <v>7734.4</v>
      </c>
      <c r="C30" s="9">
        <v>3030.2</v>
      </c>
      <c r="D30" s="17"/>
      <c r="E30" s="144">
        <v>16</v>
      </c>
    </row>
    <row r="31" spans="1:5" ht="25.8" thickBot="1">
      <c r="A31" s="119" t="s">
        <v>56</v>
      </c>
      <c r="B31" s="8">
        <v>75.5</v>
      </c>
      <c r="C31" s="8">
        <v>64.3</v>
      </c>
      <c r="D31" s="17"/>
      <c r="E31" s="144">
        <v>16</v>
      </c>
    </row>
    <row r="32" spans="1:5" ht="15" thickBot="1">
      <c r="A32" s="119" t="s">
        <v>58</v>
      </c>
      <c r="B32" s="10"/>
      <c r="C32" s="10"/>
      <c r="D32" s="17"/>
      <c r="E32" s="144"/>
    </row>
    <row r="33" spans="1:5" ht="15" thickBot="1">
      <c r="A33" s="119" t="s">
        <v>59</v>
      </c>
      <c r="B33" s="8">
        <v>160</v>
      </c>
      <c r="C33" s="8">
        <v>222</v>
      </c>
      <c r="D33" s="17"/>
      <c r="E33" s="144">
        <v>16</v>
      </c>
    </row>
    <row r="34" spans="1:5" ht="15" thickBot="1">
      <c r="A34" s="126" t="s">
        <v>60</v>
      </c>
      <c r="B34" s="145"/>
      <c r="C34" s="145"/>
      <c r="D34" s="135"/>
      <c r="E34" s="146"/>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ED4D-8CAA-4E8B-95FF-4780FC5D3BC2}">
  <dimension ref="A1:R35"/>
  <sheetViews>
    <sheetView tabSelected="1" zoomScale="85" zoomScaleNormal="85" workbookViewId="0">
      <selection activeCell="L40" sqref="L40"/>
    </sheetView>
  </sheetViews>
  <sheetFormatPr defaultColWidth="11.44140625" defaultRowHeight="14.4"/>
  <cols>
    <col min="1" max="1" width="16.5546875" style="19" bestFit="1" customWidth="1"/>
    <col min="2" max="8" width="14.6640625" style="19" customWidth="1"/>
    <col min="9" max="10" width="11.44140625" style="19"/>
    <col min="11" max="11" width="17" style="19" customWidth="1"/>
    <col min="12" max="18" width="14.6640625" style="19" customWidth="1"/>
    <col min="19" max="16384" width="11.44140625" style="19"/>
  </cols>
  <sheetData>
    <row r="1" spans="1:18" ht="18.600000000000001" thickBot="1">
      <c r="A1" s="11" t="s">
        <v>84</v>
      </c>
      <c r="B1"/>
      <c r="C1"/>
      <c r="D1"/>
      <c r="E1"/>
      <c r="F1"/>
      <c r="G1"/>
      <c r="H1"/>
      <c r="J1"/>
      <c r="K1"/>
      <c r="L1"/>
      <c r="M1"/>
      <c r="N1"/>
      <c r="O1"/>
      <c r="P1"/>
      <c r="Q1"/>
      <c r="R1"/>
    </row>
    <row r="2" spans="1:18" ht="41.4" thickBot="1">
      <c r="A2" s="130" t="s">
        <v>85</v>
      </c>
      <c r="B2" s="131" t="s">
        <v>86</v>
      </c>
      <c r="C2" s="131" t="s">
        <v>87</v>
      </c>
      <c r="D2" s="131" t="s">
        <v>88</v>
      </c>
      <c r="E2" s="131" t="s">
        <v>89</v>
      </c>
      <c r="F2" s="131" t="s">
        <v>90</v>
      </c>
      <c r="G2" s="131" t="s">
        <v>91</v>
      </c>
      <c r="H2" s="132" t="s">
        <v>92</v>
      </c>
      <c r="J2" s="223" t="s">
        <v>26</v>
      </c>
      <c r="K2" s="137" t="s">
        <v>93</v>
      </c>
      <c r="L2" s="138" t="s">
        <v>94</v>
      </c>
      <c r="M2" s="137" t="s">
        <v>95</v>
      </c>
      <c r="N2" s="137" t="s">
        <v>88</v>
      </c>
      <c r="O2" s="137" t="s">
        <v>89</v>
      </c>
      <c r="P2" s="137" t="s">
        <v>90</v>
      </c>
      <c r="Q2" s="137" t="s">
        <v>91</v>
      </c>
      <c r="R2" s="132" t="s">
        <v>92</v>
      </c>
    </row>
    <row r="3" spans="1:18" ht="15" thickBot="1">
      <c r="A3" s="119" t="s">
        <v>96</v>
      </c>
      <c r="B3" s="17">
        <f>'5 Heat supply and fuel mix'!B40</f>
        <v>3855.0419367859222</v>
      </c>
      <c r="C3" s="17">
        <f>H3-B3-D3-F3-G3</f>
        <v>7265.9580632140778</v>
      </c>
      <c r="D3" s="17">
        <v>76</v>
      </c>
      <c r="E3" s="17">
        <v>30</v>
      </c>
      <c r="F3" s="17">
        <v>3</v>
      </c>
      <c r="G3" s="17"/>
      <c r="H3" s="133">
        <v>11200</v>
      </c>
      <c r="I3" s="209"/>
      <c r="J3" s="224"/>
      <c r="K3" s="1" t="s">
        <v>27</v>
      </c>
      <c r="L3" s="1" t="s">
        <v>97</v>
      </c>
      <c r="M3" s="1" t="s">
        <v>97</v>
      </c>
      <c r="N3" s="1">
        <v>15</v>
      </c>
      <c r="O3" s="1">
        <v>14</v>
      </c>
      <c r="P3" s="1">
        <v>17</v>
      </c>
      <c r="Q3" s="1"/>
      <c r="R3" s="139">
        <v>10</v>
      </c>
    </row>
    <row r="4" spans="1:18" ht="15" thickBot="1">
      <c r="A4" s="122" t="s">
        <v>82</v>
      </c>
      <c r="B4" s="17"/>
      <c r="C4" s="17"/>
      <c r="D4" s="17">
        <v>17</v>
      </c>
      <c r="E4" s="17"/>
      <c r="F4" s="17"/>
      <c r="G4" s="17"/>
      <c r="H4" s="133"/>
      <c r="I4" s="209"/>
      <c r="J4" s="224"/>
      <c r="K4" s="52" t="s">
        <v>82</v>
      </c>
      <c r="L4" s="1"/>
      <c r="M4" s="1"/>
      <c r="N4" s="1">
        <v>15</v>
      </c>
      <c r="O4" s="1"/>
      <c r="P4" s="1"/>
      <c r="Q4" s="1"/>
      <c r="R4" s="139"/>
    </row>
    <row r="5" spans="1:18" ht="15" thickBot="1">
      <c r="A5" s="119" t="s">
        <v>29</v>
      </c>
      <c r="B5" s="17">
        <f>2779+109</f>
        <v>2888</v>
      </c>
      <c r="C5" s="17">
        <f>3179+74</f>
        <v>3253</v>
      </c>
      <c r="D5" s="17"/>
      <c r="E5" s="17"/>
      <c r="F5" s="17"/>
      <c r="G5" s="17">
        <v>232</v>
      </c>
      <c r="H5" s="133">
        <v>6373</v>
      </c>
      <c r="I5" s="209"/>
      <c r="J5" s="224"/>
      <c r="K5" s="1" t="s">
        <v>29</v>
      </c>
      <c r="L5" s="1">
        <v>3</v>
      </c>
      <c r="M5" s="1">
        <v>3</v>
      </c>
      <c r="N5" s="1"/>
      <c r="O5" s="1"/>
      <c r="P5" s="1"/>
      <c r="Q5" s="1">
        <v>3</v>
      </c>
      <c r="R5" s="139">
        <v>3</v>
      </c>
    </row>
    <row r="6" spans="1:18" ht="15" thickBot="1">
      <c r="A6" s="119" t="s">
        <v>31</v>
      </c>
      <c r="B6" s="17">
        <v>1568</v>
      </c>
      <c r="C6" s="17">
        <f>H6-B6-D6</f>
        <v>589</v>
      </c>
      <c r="D6" s="17">
        <v>42</v>
      </c>
      <c r="E6" s="17"/>
      <c r="F6" s="17"/>
      <c r="G6" s="17"/>
      <c r="H6" s="133">
        <v>2199</v>
      </c>
      <c r="I6" s="209"/>
      <c r="J6" s="224"/>
      <c r="K6" s="1" t="s">
        <v>31</v>
      </c>
      <c r="L6" s="1">
        <v>4</v>
      </c>
      <c r="M6" s="1" t="s">
        <v>98</v>
      </c>
      <c r="N6" s="1">
        <v>15</v>
      </c>
      <c r="O6" s="1"/>
      <c r="P6" s="1"/>
      <c r="Q6" s="1"/>
      <c r="R6" s="139">
        <v>4</v>
      </c>
    </row>
    <row r="7" spans="1:18" ht="15" thickBot="1">
      <c r="A7" s="119" t="s">
        <v>32</v>
      </c>
      <c r="B7" s="17">
        <f>'5 Heat supply and fuel mix'!B45</f>
        <v>12800.503887872275</v>
      </c>
      <c r="C7" s="17">
        <f>H7-B7-D7-F7-G7</f>
        <v>29883.896112127724</v>
      </c>
      <c r="D7" s="17">
        <v>6.6</v>
      </c>
      <c r="E7" s="17"/>
      <c r="F7" s="17">
        <v>6</v>
      </c>
      <c r="G7" s="17"/>
      <c r="H7" s="133">
        <v>42697</v>
      </c>
      <c r="I7" s="209"/>
      <c r="J7" s="224"/>
      <c r="K7" s="1" t="s">
        <v>32</v>
      </c>
      <c r="L7" s="1" t="s">
        <v>97</v>
      </c>
      <c r="M7" s="1" t="s">
        <v>97</v>
      </c>
      <c r="N7" s="1">
        <v>15</v>
      </c>
      <c r="O7" s="1"/>
      <c r="P7" s="1">
        <v>17</v>
      </c>
      <c r="Q7" s="1"/>
      <c r="R7" s="139">
        <v>6</v>
      </c>
    </row>
    <row r="8" spans="1:18" ht="15" thickBot="1">
      <c r="A8" s="119" t="s">
        <v>33</v>
      </c>
      <c r="B8" s="17">
        <v>9836</v>
      </c>
      <c r="C8" s="17">
        <v>15268</v>
      </c>
      <c r="D8" s="17">
        <v>33</v>
      </c>
      <c r="E8" s="17">
        <v>1089</v>
      </c>
      <c r="F8" s="17">
        <v>671</v>
      </c>
      <c r="G8" s="17">
        <v>362</v>
      </c>
      <c r="H8" s="133">
        <f>C8+B8</f>
        <v>25104</v>
      </c>
      <c r="I8" s="209"/>
      <c r="J8" s="224"/>
      <c r="K8" s="1" t="s">
        <v>33</v>
      </c>
      <c r="L8" s="1">
        <v>8</v>
      </c>
      <c r="M8" s="1">
        <v>8</v>
      </c>
      <c r="N8" s="1">
        <v>15</v>
      </c>
      <c r="O8" s="1">
        <v>14</v>
      </c>
      <c r="P8" s="1">
        <v>17</v>
      </c>
      <c r="Q8" s="1">
        <v>8</v>
      </c>
      <c r="R8" s="139">
        <v>8</v>
      </c>
    </row>
    <row r="9" spans="1:18" ht="15" thickBot="1">
      <c r="A9" s="119" t="s">
        <v>34</v>
      </c>
      <c r="B9" s="17">
        <v>520</v>
      </c>
      <c r="C9" s="17">
        <v>4914</v>
      </c>
      <c r="D9" s="17"/>
      <c r="E9" s="17"/>
      <c r="F9" s="17">
        <v>20</v>
      </c>
      <c r="G9" s="17"/>
      <c r="H9" s="133">
        <f>C9+B9</f>
        <v>5434</v>
      </c>
      <c r="I9" s="209"/>
      <c r="J9" s="224"/>
      <c r="K9" s="1" t="s">
        <v>34</v>
      </c>
      <c r="L9" s="1">
        <v>9</v>
      </c>
      <c r="M9" s="1">
        <v>9</v>
      </c>
      <c r="N9" s="1"/>
      <c r="O9" s="1"/>
      <c r="P9" s="1">
        <v>17</v>
      </c>
      <c r="Q9" s="1"/>
      <c r="R9" s="139">
        <v>9</v>
      </c>
    </row>
    <row r="10" spans="1:18" ht="15" thickBot="1">
      <c r="A10" s="119" t="s">
        <v>35</v>
      </c>
      <c r="B10" s="17">
        <v>8328</v>
      </c>
      <c r="C10" s="17">
        <f>14130+1076</f>
        <v>15206</v>
      </c>
      <c r="D10" s="17"/>
      <c r="E10" s="17">
        <v>1</v>
      </c>
      <c r="F10" s="17">
        <v>155</v>
      </c>
      <c r="G10" s="17"/>
      <c r="H10" s="133">
        <v>23534</v>
      </c>
      <c r="I10" s="209"/>
      <c r="J10" s="224"/>
      <c r="K10" s="1" t="s">
        <v>35</v>
      </c>
      <c r="L10" s="1">
        <v>18</v>
      </c>
      <c r="M10" s="1">
        <v>18</v>
      </c>
      <c r="N10" s="1"/>
      <c r="O10" s="1">
        <v>14</v>
      </c>
      <c r="P10" s="1">
        <v>17</v>
      </c>
      <c r="Q10" s="1"/>
      <c r="R10" s="139">
        <v>18</v>
      </c>
    </row>
    <row r="11" spans="1:18" ht="15" thickBot="1">
      <c r="A11" s="119" t="s">
        <v>36</v>
      </c>
      <c r="B11" s="17">
        <f>1523/0.35</f>
        <v>4351.4285714285716</v>
      </c>
      <c r="C11" s="17">
        <f>H11-G11-E11-D11-B11</f>
        <v>18035.571428571428</v>
      </c>
      <c r="D11" s="17">
        <v>430</v>
      </c>
      <c r="E11" s="17">
        <v>13</v>
      </c>
      <c r="F11" s="17">
        <v>23</v>
      </c>
      <c r="G11" s="17">
        <v>237</v>
      </c>
      <c r="H11" s="133">
        <v>23067</v>
      </c>
      <c r="I11" s="209"/>
      <c r="J11" s="224"/>
      <c r="K11" s="1" t="s">
        <v>36</v>
      </c>
      <c r="L11" s="72">
        <v>19.2</v>
      </c>
      <c r="M11" s="72">
        <v>19.2</v>
      </c>
      <c r="N11" s="72">
        <v>19.2</v>
      </c>
      <c r="O11" s="72">
        <v>19.2</v>
      </c>
      <c r="P11" s="1">
        <v>17</v>
      </c>
      <c r="Q11" s="72">
        <v>19.2</v>
      </c>
      <c r="R11" s="140">
        <v>19.2</v>
      </c>
    </row>
    <row r="12" spans="1:18" ht="15" thickBot="1">
      <c r="A12" s="119" t="s">
        <v>37</v>
      </c>
      <c r="B12" s="17">
        <v>49781</v>
      </c>
      <c r="C12" s="17">
        <v>45315</v>
      </c>
      <c r="D12" s="17">
        <v>335</v>
      </c>
      <c r="E12" s="17">
        <v>55.9</v>
      </c>
      <c r="F12" s="17"/>
      <c r="G12" s="17"/>
      <c r="H12" s="133">
        <f>SUM(B12:G12)</f>
        <v>95486.9</v>
      </c>
      <c r="I12" s="209"/>
      <c r="J12" s="224"/>
      <c r="K12" s="1" t="s">
        <v>37</v>
      </c>
      <c r="L12" s="1">
        <v>22</v>
      </c>
      <c r="M12" s="1">
        <v>22</v>
      </c>
      <c r="N12" s="1">
        <v>22</v>
      </c>
      <c r="O12" s="1">
        <v>14</v>
      </c>
      <c r="P12" s="1"/>
      <c r="Q12" s="1"/>
      <c r="R12" s="139">
        <v>22</v>
      </c>
    </row>
    <row r="13" spans="1:18" ht="15" thickBot="1">
      <c r="A13" s="122" t="s">
        <v>38</v>
      </c>
      <c r="B13" s="17">
        <v>311.7</v>
      </c>
      <c r="C13" s="17"/>
      <c r="D13" s="17"/>
      <c r="E13" s="17">
        <v>10.1</v>
      </c>
      <c r="F13" s="17"/>
      <c r="G13" s="17"/>
      <c r="H13" s="133">
        <v>311.7</v>
      </c>
      <c r="I13" s="209"/>
      <c r="J13" s="224"/>
      <c r="K13" s="52" t="s">
        <v>38</v>
      </c>
      <c r="L13" s="1"/>
      <c r="M13" s="1"/>
      <c r="N13" s="1"/>
      <c r="O13" s="1">
        <v>14</v>
      </c>
      <c r="P13" s="1"/>
      <c r="Q13" s="1"/>
      <c r="R13" s="139">
        <v>23</v>
      </c>
    </row>
    <row r="14" spans="1:18" ht="15" thickBot="1">
      <c r="A14" s="119" t="s">
        <v>39</v>
      </c>
      <c r="B14" s="17">
        <v>5914</v>
      </c>
      <c r="C14" s="17">
        <v>2213</v>
      </c>
      <c r="D14" s="17">
        <v>230</v>
      </c>
      <c r="E14" s="17">
        <v>13.8</v>
      </c>
      <c r="F14" s="17"/>
      <c r="G14" s="17"/>
      <c r="H14" s="133">
        <v>8371</v>
      </c>
      <c r="I14" s="209"/>
      <c r="J14" s="224"/>
      <c r="K14" s="1" t="s">
        <v>39</v>
      </c>
      <c r="L14" s="1">
        <v>23</v>
      </c>
      <c r="M14" s="1">
        <v>23</v>
      </c>
      <c r="N14" s="1">
        <v>23</v>
      </c>
      <c r="O14" s="1">
        <v>23</v>
      </c>
      <c r="P14" s="1"/>
      <c r="Q14" s="1"/>
      <c r="R14" s="139">
        <v>24</v>
      </c>
    </row>
    <row r="15" spans="1:18" ht="15" thickBot="1">
      <c r="A15" s="122" t="s">
        <v>40</v>
      </c>
      <c r="B15" s="17"/>
      <c r="C15" s="17"/>
      <c r="D15" s="17"/>
      <c r="E15" s="17"/>
      <c r="F15" s="17"/>
      <c r="G15" s="17"/>
      <c r="H15" s="133"/>
      <c r="I15" s="209"/>
      <c r="J15" s="224"/>
      <c r="K15" s="52" t="s">
        <v>40</v>
      </c>
      <c r="L15" s="1"/>
      <c r="M15" s="1"/>
      <c r="N15" s="1"/>
      <c r="O15" s="1"/>
      <c r="P15" s="1"/>
      <c r="Q15" s="1"/>
      <c r="R15" s="139"/>
    </row>
    <row r="16" spans="1:18" ht="15" thickBot="1">
      <c r="A16" s="119" t="s">
        <v>41</v>
      </c>
      <c r="B16" s="17">
        <v>2871</v>
      </c>
      <c r="C16" s="17">
        <f>5431+381</f>
        <v>5812</v>
      </c>
      <c r="D16" s="17">
        <v>134</v>
      </c>
      <c r="E16" s="17">
        <v>1.5</v>
      </c>
      <c r="F16" s="17">
        <v>45</v>
      </c>
      <c r="G16" s="17">
        <v>44</v>
      </c>
      <c r="H16" s="133">
        <v>8908</v>
      </c>
      <c r="I16" s="209"/>
      <c r="J16" s="224"/>
      <c r="K16" s="1" t="s">
        <v>41</v>
      </c>
      <c r="L16" s="1">
        <v>27</v>
      </c>
      <c r="M16" s="1"/>
      <c r="N16" s="1">
        <v>27</v>
      </c>
      <c r="O16" s="1">
        <v>27</v>
      </c>
      <c r="P16" s="1">
        <v>27</v>
      </c>
      <c r="Q16" s="1">
        <v>27</v>
      </c>
      <c r="R16" s="139">
        <v>28</v>
      </c>
    </row>
    <row r="17" spans="1:18" ht="15" thickBot="1">
      <c r="A17" s="119" t="s">
        <v>42</v>
      </c>
      <c r="B17" s="17">
        <v>3247</v>
      </c>
      <c r="C17" s="17">
        <v>2360</v>
      </c>
      <c r="D17" s="17"/>
      <c r="E17" s="17">
        <v>15</v>
      </c>
      <c r="F17" s="17"/>
      <c r="G17" s="17"/>
      <c r="H17" s="133">
        <f>SUM(B17:G17)</f>
        <v>5622</v>
      </c>
      <c r="I17" s="209"/>
      <c r="J17" s="224"/>
      <c r="K17" s="1" t="s">
        <v>42</v>
      </c>
      <c r="L17" s="1">
        <v>29</v>
      </c>
      <c r="M17" s="1">
        <v>29</v>
      </c>
      <c r="N17" s="1"/>
      <c r="O17" s="1">
        <v>14</v>
      </c>
      <c r="P17" s="1"/>
      <c r="Q17" s="1"/>
      <c r="R17" s="139">
        <v>29</v>
      </c>
    </row>
    <row r="18" spans="1:18" ht="15" thickBot="1">
      <c r="A18" s="119" t="s">
        <v>43</v>
      </c>
      <c r="B18" s="17">
        <f>'5 Heat supply and fuel mix'!B56</f>
        <v>1832.3622833643401</v>
      </c>
      <c r="C18" s="17">
        <f>H18-B18-D18-F18-G18</f>
        <v>6849.6377166356597</v>
      </c>
      <c r="D18" s="17">
        <v>18</v>
      </c>
      <c r="E18" s="17"/>
      <c r="F18" s="17"/>
      <c r="G18" s="17"/>
      <c r="H18" s="133">
        <v>8700</v>
      </c>
      <c r="I18" s="209"/>
      <c r="J18" s="224"/>
      <c r="K18" s="1" t="s">
        <v>43</v>
      </c>
      <c r="L18" s="1" t="s">
        <v>97</v>
      </c>
      <c r="M18" s="1" t="s">
        <v>97</v>
      </c>
      <c r="N18" s="1">
        <v>15</v>
      </c>
      <c r="O18" s="1"/>
      <c r="P18" s="1"/>
      <c r="Q18" s="1"/>
      <c r="R18" s="139">
        <v>31.32</v>
      </c>
    </row>
    <row r="19" spans="1:18" ht="15" thickBot="1">
      <c r="A19" s="122" t="s">
        <v>44</v>
      </c>
      <c r="B19" s="17"/>
      <c r="C19" s="17"/>
      <c r="D19" s="17"/>
      <c r="E19" s="17"/>
      <c r="F19" s="17"/>
      <c r="G19" s="17"/>
      <c r="H19" s="133"/>
      <c r="I19" s="209"/>
      <c r="J19" s="224"/>
      <c r="K19" s="52" t="s">
        <v>44</v>
      </c>
      <c r="L19" s="1"/>
      <c r="M19" s="1"/>
      <c r="N19" s="1"/>
      <c r="O19" s="1"/>
      <c r="P19" s="1"/>
      <c r="Q19" s="1"/>
      <c r="R19" s="139"/>
    </row>
    <row r="20" spans="1:18" ht="15" thickBot="1">
      <c r="A20" s="119" t="s">
        <v>99</v>
      </c>
      <c r="B20" s="17">
        <f>'5 Heat supply and fuel mix'!B59</f>
        <v>1594.5860424444993</v>
      </c>
      <c r="C20" s="17">
        <f>H20-B20-D20-F20-G20</f>
        <v>4046.4139575555009</v>
      </c>
      <c r="D20" s="17">
        <v>208</v>
      </c>
      <c r="E20" s="17">
        <v>11.4</v>
      </c>
      <c r="F20" s="17">
        <v>1</v>
      </c>
      <c r="G20" s="17"/>
      <c r="H20" s="133">
        <v>5850</v>
      </c>
      <c r="I20" s="209"/>
      <c r="J20" s="224"/>
      <c r="K20" s="1" t="s">
        <v>46</v>
      </c>
      <c r="L20" s="1" t="s">
        <v>97</v>
      </c>
      <c r="M20" s="1" t="s">
        <v>97</v>
      </c>
      <c r="N20" s="1">
        <v>15</v>
      </c>
      <c r="O20" s="1">
        <v>14</v>
      </c>
      <c r="P20" s="1">
        <v>17</v>
      </c>
      <c r="Q20" s="1"/>
      <c r="R20" s="139">
        <v>10</v>
      </c>
    </row>
    <row r="21" spans="1:18" ht="15" thickBot="1">
      <c r="A21" s="119" t="s">
        <v>47</v>
      </c>
      <c r="B21" s="17">
        <f>'5 Heat supply and fuel mix'!B60</f>
        <v>18080.950445552018</v>
      </c>
      <c r="C21" s="17">
        <f>H21-B21-D21-F21-G21</f>
        <v>37054.049554447978</v>
      </c>
      <c r="D21" s="17">
        <v>74</v>
      </c>
      <c r="E21" s="17">
        <v>16.3</v>
      </c>
      <c r="F21" s="17"/>
      <c r="G21" s="17"/>
      <c r="H21" s="133">
        <v>55209</v>
      </c>
      <c r="I21" s="209"/>
      <c r="J21" s="224"/>
      <c r="K21" s="1" t="s">
        <v>47</v>
      </c>
      <c r="L21" s="1" t="s">
        <v>97</v>
      </c>
      <c r="M21" s="1" t="s">
        <v>97</v>
      </c>
      <c r="N21" s="1">
        <v>15</v>
      </c>
      <c r="O21" s="1">
        <v>14</v>
      </c>
      <c r="P21" s="1"/>
      <c r="Q21" s="1"/>
      <c r="R21" s="139">
        <v>37</v>
      </c>
    </row>
    <row r="22" spans="1:18" ht="15" thickBot="1">
      <c r="A22" s="119" t="s">
        <v>100</v>
      </c>
      <c r="B22" s="17"/>
      <c r="C22" s="54"/>
      <c r="D22" s="54"/>
      <c r="E22" s="54"/>
      <c r="F22" s="54"/>
      <c r="G22" s="54"/>
      <c r="H22" s="133">
        <v>34</v>
      </c>
      <c r="I22" s="209"/>
      <c r="J22" s="224"/>
      <c r="K22" s="1" t="s">
        <v>48</v>
      </c>
      <c r="L22" s="1"/>
      <c r="M22" s="1"/>
      <c r="N22" s="1">
        <v>15</v>
      </c>
      <c r="O22" s="1">
        <v>14</v>
      </c>
      <c r="P22" s="1"/>
      <c r="Q22" s="1"/>
      <c r="R22" s="139">
        <v>10</v>
      </c>
    </row>
    <row r="23" spans="1:18" ht="15" thickBot="1">
      <c r="A23" s="119" t="s">
        <v>50</v>
      </c>
      <c r="B23" s="17">
        <v>4058</v>
      </c>
      <c r="C23" s="17">
        <v>3679</v>
      </c>
      <c r="D23" s="17">
        <v>158</v>
      </c>
      <c r="E23" s="17"/>
      <c r="F23" s="17"/>
      <c r="G23" s="17"/>
      <c r="H23" s="133">
        <v>7737</v>
      </c>
      <c r="I23" s="209"/>
      <c r="J23" s="224"/>
      <c r="K23" s="1" t="s">
        <v>50</v>
      </c>
      <c r="L23" s="1">
        <v>38.39</v>
      </c>
      <c r="M23" s="1">
        <v>38.39</v>
      </c>
      <c r="N23" s="1">
        <v>15</v>
      </c>
      <c r="O23" s="1"/>
      <c r="P23" s="1"/>
      <c r="Q23" s="1"/>
      <c r="R23" s="139">
        <v>40</v>
      </c>
    </row>
    <row r="24" spans="1:18" ht="15" thickBot="1">
      <c r="A24" s="119" t="s">
        <v>101</v>
      </c>
      <c r="B24" s="17">
        <f>'5 Heat supply and fuel mix'!B63</f>
        <v>2483.8789991285939</v>
      </c>
      <c r="C24" s="17">
        <f>H24-B24-D24-F24-G24</f>
        <v>12492.221000871406</v>
      </c>
      <c r="D24" s="17">
        <v>21.9</v>
      </c>
      <c r="E24" s="17"/>
      <c r="F24" s="17">
        <v>2</v>
      </c>
      <c r="G24" s="17"/>
      <c r="H24" s="133">
        <v>15000</v>
      </c>
      <c r="I24" s="209"/>
      <c r="J24" s="224"/>
      <c r="K24" s="1" t="s">
        <v>51</v>
      </c>
      <c r="L24" s="1" t="s">
        <v>97</v>
      </c>
      <c r="M24" s="1" t="s">
        <v>97</v>
      </c>
      <c r="N24" s="1">
        <v>15</v>
      </c>
      <c r="O24" s="1"/>
      <c r="P24" s="1">
        <v>17</v>
      </c>
      <c r="Q24" s="1"/>
      <c r="R24" s="139">
        <v>10</v>
      </c>
    </row>
    <row r="25" spans="1:18" ht="15" thickBot="1">
      <c r="A25" s="119" t="s">
        <v>102</v>
      </c>
      <c r="B25" s="17">
        <f>'5 Heat supply and fuel mix'!B64</f>
        <v>527.65890281286192</v>
      </c>
      <c r="C25" s="17">
        <f>H25-B25-D25-F25-G25</f>
        <v>1164.441097187138</v>
      </c>
      <c r="D25" s="17">
        <v>46.9</v>
      </c>
      <c r="E25" s="17"/>
      <c r="F25" s="17"/>
      <c r="G25" s="17"/>
      <c r="H25" s="133">
        <v>1739</v>
      </c>
      <c r="I25" s="209"/>
      <c r="J25" s="224"/>
      <c r="K25" s="1" t="s">
        <v>52</v>
      </c>
      <c r="L25" s="1" t="s">
        <v>97</v>
      </c>
      <c r="M25" s="1" t="s">
        <v>97</v>
      </c>
      <c r="N25" s="1">
        <v>15</v>
      </c>
      <c r="O25" s="1"/>
      <c r="P25" s="1"/>
      <c r="Q25" s="1"/>
      <c r="R25" s="139">
        <v>10</v>
      </c>
    </row>
    <row r="26" spans="1:18" ht="15" thickBot="1">
      <c r="A26" s="119" t="s">
        <v>53</v>
      </c>
      <c r="B26" s="17">
        <f>'5 Heat supply and fuel mix'!B65</f>
        <v>0</v>
      </c>
      <c r="C26" s="17">
        <f>H26-B26-D26-F26-G26</f>
        <v>1187.0999999999999</v>
      </c>
      <c r="D26" s="17">
        <v>2.9</v>
      </c>
      <c r="E26" s="17">
        <v>6.2</v>
      </c>
      <c r="F26" s="17"/>
      <c r="G26" s="17"/>
      <c r="H26" s="133">
        <v>1190</v>
      </c>
      <c r="I26" s="209"/>
      <c r="J26" s="224"/>
      <c r="K26" s="1" t="s">
        <v>53</v>
      </c>
      <c r="L26" s="1"/>
      <c r="M26" s="1"/>
      <c r="N26" s="1">
        <v>15</v>
      </c>
      <c r="O26" s="1">
        <v>14</v>
      </c>
      <c r="P26" s="1"/>
      <c r="Q26" s="1"/>
      <c r="R26" s="139">
        <v>42</v>
      </c>
    </row>
    <row r="27" spans="1:18" ht="15" thickBot="1">
      <c r="A27" s="119" t="s">
        <v>54</v>
      </c>
      <c r="B27" s="17">
        <f>'5 Heat supply and fuel mix'!B66</f>
        <v>7901.5544700013243</v>
      </c>
      <c r="C27" s="17"/>
      <c r="D27" s="17"/>
      <c r="E27" s="17">
        <v>26.5</v>
      </c>
      <c r="F27" s="17">
        <v>1244</v>
      </c>
      <c r="G27" s="17"/>
      <c r="H27" s="133"/>
      <c r="I27" s="209"/>
      <c r="J27" s="224"/>
      <c r="K27" s="1" t="s">
        <v>54</v>
      </c>
      <c r="L27" s="1" t="s">
        <v>97</v>
      </c>
      <c r="M27" s="1" t="s">
        <v>97</v>
      </c>
      <c r="N27" s="1"/>
      <c r="O27" s="1">
        <v>14</v>
      </c>
      <c r="P27" s="1">
        <v>17</v>
      </c>
      <c r="Q27" s="1"/>
      <c r="R27" s="139"/>
    </row>
    <row r="28" spans="1:18" ht="15" thickBot="1">
      <c r="A28" s="125" t="s">
        <v>55</v>
      </c>
      <c r="B28" s="53">
        <f>SUM(B3:B27)</f>
        <v>142750.66553939041</v>
      </c>
      <c r="C28" s="53">
        <f t="shared" ref="C28:H28" si="0">SUM(C3:C27)</f>
        <v>216588.2889306109</v>
      </c>
      <c r="D28" s="53">
        <f t="shared" si="0"/>
        <v>1833.3000000000002</v>
      </c>
      <c r="E28" s="53">
        <f t="shared" si="0"/>
        <v>1289.7</v>
      </c>
      <c r="F28" s="53">
        <f t="shared" si="0"/>
        <v>2170</v>
      </c>
      <c r="G28" s="53">
        <f t="shared" si="0"/>
        <v>875</v>
      </c>
      <c r="H28" s="134">
        <f t="shared" si="0"/>
        <v>353766.6</v>
      </c>
      <c r="I28" s="209"/>
      <c r="J28" s="224"/>
      <c r="K28" s="6" t="s">
        <v>55</v>
      </c>
      <c r="L28" s="1"/>
      <c r="M28" s="1"/>
      <c r="N28" s="1"/>
      <c r="O28" s="1"/>
      <c r="P28" s="1"/>
      <c r="Q28" s="1"/>
      <c r="R28" s="139"/>
    </row>
    <row r="29" spans="1:18" ht="25.8" thickBot="1">
      <c r="A29" s="119" t="s">
        <v>56</v>
      </c>
      <c r="B29" s="17">
        <f>'5 Heat supply and fuel mix'!B68</f>
        <v>999.9516558310321</v>
      </c>
      <c r="C29" s="17"/>
      <c r="D29" s="17">
        <v>3</v>
      </c>
      <c r="E29" s="17"/>
      <c r="F29" s="17"/>
      <c r="G29" s="17"/>
      <c r="H29" s="133"/>
      <c r="I29" s="209"/>
      <c r="J29" s="224"/>
      <c r="K29" s="1" t="s">
        <v>56</v>
      </c>
      <c r="L29" s="1" t="s">
        <v>97</v>
      </c>
      <c r="M29" s="1" t="s">
        <v>97</v>
      </c>
      <c r="N29" s="1">
        <v>15</v>
      </c>
      <c r="O29" s="1"/>
      <c r="P29" s="1"/>
      <c r="Q29" s="1"/>
      <c r="R29" s="139"/>
    </row>
    <row r="30" spans="1:18" ht="15" thickBot="1">
      <c r="A30" s="119" t="s">
        <v>58</v>
      </c>
      <c r="B30" s="17">
        <f>'5 Heat supply and fuel mix'!B69</f>
        <v>351.1065260075211</v>
      </c>
      <c r="C30" s="17"/>
      <c r="D30" s="17">
        <v>1980</v>
      </c>
      <c r="E30" s="17"/>
      <c r="F30" s="17"/>
      <c r="G30" s="17"/>
      <c r="H30" s="133">
        <f>SUM(B30:G30)</f>
        <v>2331.1065260075211</v>
      </c>
      <c r="I30" s="209"/>
      <c r="J30" s="224"/>
      <c r="K30" s="1" t="s">
        <v>58</v>
      </c>
      <c r="L30" s="1" t="s">
        <v>97</v>
      </c>
      <c r="M30" s="1"/>
      <c r="N30" s="1">
        <v>15</v>
      </c>
      <c r="O30" s="1"/>
      <c r="P30" s="1"/>
      <c r="Q30" s="1"/>
      <c r="R30" s="139"/>
    </row>
    <row r="31" spans="1:18" ht="15" thickBot="1">
      <c r="A31" s="119" t="s">
        <v>103</v>
      </c>
      <c r="B31" s="17">
        <f>'5 Heat supply and fuel mix'!B70</f>
        <v>908.04155844155844</v>
      </c>
      <c r="C31" s="17">
        <f>H31-B31-D31-F31-G31</f>
        <v>2406.9584415584413</v>
      </c>
      <c r="D31" s="17"/>
      <c r="E31" s="17">
        <v>9</v>
      </c>
      <c r="F31" s="17">
        <v>85</v>
      </c>
      <c r="G31" s="17"/>
      <c r="H31" s="133">
        <v>3400</v>
      </c>
      <c r="I31" s="209"/>
      <c r="J31" s="224"/>
      <c r="K31" s="1" t="s">
        <v>59</v>
      </c>
      <c r="L31" s="1" t="s">
        <v>97</v>
      </c>
      <c r="M31" s="1" t="s">
        <v>97</v>
      </c>
      <c r="N31" s="1"/>
      <c r="O31" s="1">
        <v>14</v>
      </c>
      <c r="P31" s="1">
        <v>17</v>
      </c>
      <c r="Q31" s="1"/>
      <c r="R31" s="139">
        <v>10</v>
      </c>
    </row>
    <row r="32" spans="1:18" ht="15" thickBot="1">
      <c r="A32" s="126" t="s">
        <v>60</v>
      </c>
      <c r="B32" s="135">
        <f>'5 Heat supply and fuel mix'!B71</f>
        <v>13155.164695110785</v>
      </c>
      <c r="C32" s="135"/>
      <c r="D32" s="135">
        <v>0.9</v>
      </c>
      <c r="E32" s="135"/>
      <c r="F32" s="135"/>
      <c r="G32" s="135"/>
      <c r="H32" s="136"/>
      <c r="I32" s="209"/>
      <c r="J32" s="225"/>
      <c r="K32" s="141" t="s">
        <v>60</v>
      </c>
      <c r="L32" s="141"/>
      <c r="M32" s="141"/>
      <c r="N32" s="141">
        <v>15</v>
      </c>
      <c r="O32" s="141"/>
      <c r="P32" s="141"/>
      <c r="Q32" s="141"/>
      <c r="R32" s="142"/>
    </row>
    <row r="33" spans="1:18" s="34" customFormat="1" ht="54.75" customHeight="1">
      <c r="A33" s="227" t="s">
        <v>104</v>
      </c>
      <c r="B33" s="227"/>
      <c r="J33" s="226" t="s">
        <v>105</v>
      </c>
      <c r="K33" s="226"/>
      <c r="L33" s="226"/>
      <c r="M33" s="226"/>
      <c r="N33" s="226"/>
      <c r="O33" s="226"/>
      <c r="P33" s="226"/>
      <c r="Q33" s="226"/>
      <c r="R33" s="226"/>
    </row>
    <row r="34" spans="1:18" ht="34.950000000000003" customHeight="1">
      <c r="A34" s="129"/>
      <c r="J34" s="226" t="s">
        <v>106</v>
      </c>
      <c r="K34" s="226"/>
      <c r="L34" s="226"/>
      <c r="M34" s="226"/>
      <c r="N34" s="226"/>
      <c r="O34" s="226"/>
      <c r="P34" s="226"/>
      <c r="Q34" s="226"/>
      <c r="R34" s="226"/>
    </row>
    <row r="35" spans="1:18" ht="15.6">
      <c r="A35" s="129"/>
    </row>
  </sheetData>
  <mergeCells count="4">
    <mergeCell ref="J2:J32"/>
    <mergeCell ref="J33:R33"/>
    <mergeCell ref="J34:R34"/>
    <mergeCell ref="A33:B3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5B278-F9EE-4C34-8D2B-2F05422A411A}">
  <dimension ref="A1:V71"/>
  <sheetViews>
    <sheetView topLeftCell="A6" zoomScale="85" zoomScaleNormal="85" workbookViewId="0">
      <selection activeCell="C34" sqref="C34"/>
    </sheetView>
  </sheetViews>
  <sheetFormatPr defaultColWidth="11.44140625" defaultRowHeight="14.4" outlineLevelRow="1"/>
  <cols>
    <col min="1" max="1" width="20" style="19" customWidth="1"/>
    <col min="2" max="3" width="15.6640625" style="19" customWidth="1"/>
    <col min="4" max="7" width="12.6640625" style="19" customWidth="1"/>
    <col min="8" max="8" width="13" style="19" customWidth="1"/>
    <col min="9" max="14" width="12.6640625" style="19" customWidth="1"/>
    <col min="15" max="15" width="13.6640625" style="19" customWidth="1"/>
    <col min="16" max="16" width="17.6640625" style="19" customWidth="1"/>
    <col min="17" max="18" width="13.33203125" style="19" customWidth="1"/>
    <col min="19" max="16384" width="11.44140625" style="19"/>
  </cols>
  <sheetData>
    <row r="1" spans="1:22" ht="18.600000000000001" thickBot="1">
      <c r="A1" s="114" t="s">
        <v>107</v>
      </c>
    </row>
    <row r="2" spans="1:22" ht="26.25" customHeight="1">
      <c r="A2" s="115"/>
      <c r="B2" s="228" t="s">
        <v>108</v>
      </c>
      <c r="C2" s="229"/>
      <c r="D2" s="230" t="s">
        <v>109</v>
      </c>
      <c r="E2" s="231"/>
      <c r="F2" s="231"/>
      <c r="G2" s="231"/>
      <c r="H2" s="231"/>
      <c r="I2" s="231"/>
      <c r="J2" s="231"/>
      <c r="K2" s="231"/>
      <c r="L2" s="231"/>
      <c r="M2" s="231"/>
      <c r="N2" s="232"/>
      <c r="O2" s="116"/>
    </row>
    <row r="3" spans="1:22" ht="50.4">
      <c r="A3" s="117" t="s">
        <v>21</v>
      </c>
      <c r="B3" s="74" t="s">
        <v>110</v>
      </c>
      <c r="C3" s="75" t="s">
        <v>111</v>
      </c>
      <c r="D3" s="73" t="s">
        <v>112</v>
      </c>
      <c r="E3" s="77" t="s">
        <v>113</v>
      </c>
      <c r="F3" s="76" t="s">
        <v>114</v>
      </c>
      <c r="G3" s="73" t="s">
        <v>115</v>
      </c>
      <c r="H3" s="73" t="s">
        <v>116</v>
      </c>
      <c r="I3" s="78" t="s">
        <v>117</v>
      </c>
      <c r="J3" s="77" t="s">
        <v>118</v>
      </c>
      <c r="K3" s="76" t="s">
        <v>119</v>
      </c>
      <c r="L3" s="76" t="s">
        <v>120</v>
      </c>
      <c r="M3" s="73" t="s">
        <v>121</v>
      </c>
      <c r="N3" s="73" t="s">
        <v>122</v>
      </c>
      <c r="O3" s="118" t="s">
        <v>26</v>
      </c>
    </row>
    <row r="4" spans="1:22" ht="15" thickBot="1">
      <c r="A4" s="119" t="s">
        <v>27</v>
      </c>
      <c r="B4" s="12">
        <f>0.6*N4</f>
        <v>13500</v>
      </c>
      <c r="C4" s="12">
        <f>N4-B4</f>
        <v>9000</v>
      </c>
      <c r="D4" s="12">
        <v>8100</v>
      </c>
      <c r="E4" s="12">
        <v>1125</v>
      </c>
      <c r="F4" s="12">
        <v>1125</v>
      </c>
      <c r="G4" s="12">
        <v>1575.0000000000002</v>
      </c>
      <c r="H4" s="12">
        <v>10575</v>
      </c>
      <c r="I4" s="12"/>
      <c r="J4" s="12"/>
      <c r="K4" s="12"/>
      <c r="L4" s="12"/>
      <c r="M4" s="12"/>
      <c r="N4" s="12">
        <v>22500</v>
      </c>
      <c r="O4" s="120">
        <v>1</v>
      </c>
      <c r="P4" s="177"/>
      <c r="Q4" s="177"/>
      <c r="V4" s="56"/>
    </row>
    <row r="5" spans="1:22" ht="15" thickBot="1">
      <c r="A5" s="119" t="s">
        <v>28</v>
      </c>
      <c r="B5" s="12"/>
      <c r="C5" s="12"/>
      <c r="D5" s="12"/>
      <c r="E5" s="12"/>
      <c r="F5" s="12"/>
      <c r="G5" s="12"/>
      <c r="H5" s="12"/>
      <c r="I5" s="12"/>
      <c r="J5" s="12"/>
      <c r="K5" s="12"/>
      <c r="L5" s="12"/>
      <c r="M5" s="12"/>
      <c r="N5" s="12"/>
      <c r="O5" s="120"/>
      <c r="P5" s="177"/>
      <c r="Q5" s="177"/>
      <c r="V5" s="56"/>
    </row>
    <row r="6" spans="1:22" ht="15" thickBot="1">
      <c r="A6" s="119" t="s">
        <v>29</v>
      </c>
      <c r="B6" s="12">
        <v>5196</v>
      </c>
      <c r="C6" s="12">
        <f>N6-B6</f>
        <v>2317</v>
      </c>
      <c r="D6" s="12">
        <f>N6-L6-H6-F6</f>
        <v>4910</v>
      </c>
      <c r="E6" s="12"/>
      <c r="F6" s="12">
        <v>230</v>
      </c>
      <c r="G6" s="12"/>
      <c r="H6" s="12">
        <v>2317</v>
      </c>
      <c r="I6" s="12"/>
      <c r="J6" s="12"/>
      <c r="K6" s="12"/>
      <c r="L6" s="12">
        <v>56</v>
      </c>
      <c r="M6" s="12"/>
      <c r="N6" s="12">
        <v>7513</v>
      </c>
      <c r="O6" s="120">
        <v>3</v>
      </c>
      <c r="P6" s="177"/>
      <c r="Q6" s="177"/>
      <c r="V6" s="56"/>
    </row>
    <row r="7" spans="1:22" ht="15" thickBot="1">
      <c r="A7" s="119" t="s">
        <v>31</v>
      </c>
      <c r="B7" s="12">
        <v>1908</v>
      </c>
      <c r="C7" s="12">
        <f t="shared" ref="C7:C12" si="0">N7-B7</f>
        <v>555</v>
      </c>
      <c r="D7" s="12">
        <v>2108</v>
      </c>
      <c r="E7" s="12">
        <v>341</v>
      </c>
      <c r="F7" s="12"/>
      <c r="G7" s="12"/>
      <c r="H7" s="12">
        <v>9.84</v>
      </c>
      <c r="I7" s="12">
        <v>4.3159999999999998</v>
      </c>
      <c r="J7" s="12"/>
      <c r="K7" s="12"/>
      <c r="L7" s="12"/>
      <c r="M7" s="12"/>
      <c r="N7" s="12">
        <v>2463</v>
      </c>
      <c r="O7" s="120">
        <v>4.5</v>
      </c>
      <c r="P7" s="177"/>
      <c r="Q7" s="177"/>
      <c r="V7" s="56"/>
    </row>
    <row r="8" spans="1:22" ht="15" thickBot="1">
      <c r="A8" s="119" t="s">
        <v>32</v>
      </c>
      <c r="B8" s="12">
        <f>0.68*N8</f>
        <v>16726.111111111113</v>
      </c>
      <c r="C8" s="12">
        <f t="shared" si="0"/>
        <v>7871.1111111111095</v>
      </c>
      <c r="D8" s="12">
        <f>0.25*N8</f>
        <v>6149.3055555555557</v>
      </c>
      <c r="E8" s="12"/>
      <c r="F8" s="12">
        <f>0.59*N8</f>
        <v>14512.361111111111</v>
      </c>
      <c r="G8" s="12"/>
      <c r="H8" s="12">
        <f>0.06*N8</f>
        <v>1475.8333333333333</v>
      </c>
      <c r="I8" s="12"/>
      <c r="J8" s="12">
        <f>CONVERT(1,"TJ","GWh")</f>
        <v>0.27777777777777779</v>
      </c>
      <c r="K8" s="12">
        <f>CONVERT(86,"TJ","GWh")</f>
        <v>23.888888888888889</v>
      </c>
      <c r="L8" s="12">
        <f>CONVERT(540,"TJ","GWh")</f>
        <v>150</v>
      </c>
      <c r="M8" s="12">
        <f t="shared" ref="M8:M22" si="1">N8-SUM(D8:L8)</f>
        <v>2285.5555555555547</v>
      </c>
      <c r="N8" s="12">
        <f>CONVERT(88550,"TJ","GWh")</f>
        <v>24597.222222222223</v>
      </c>
      <c r="O8" s="120">
        <v>6.7</v>
      </c>
      <c r="P8" s="177"/>
      <c r="Q8" s="177"/>
      <c r="V8" s="56"/>
    </row>
    <row r="9" spans="1:22" ht="15" thickBot="1">
      <c r="A9" s="119" t="s">
        <v>33</v>
      </c>
      <c r="B9" s="12">
        <f>CONVERT(46930+18820+23610,"TJ","GWh")</f>
        <v>24822.222222222223</v>
      </c>
      <c r="C9" s="12">
        <f t="shared" si="0"/>
        <v>12659.166666666668</v>
      </c>
      <c r="D9" s="12">
        <f>CONVERT(20446,"TJ","GWh")</f>
        <v>5679.4444444444443</v>
      </c>
      <c r="E9" s="12">
        <f>CONVERT(1290,"TJ","GWh")</f>
        <v>358.33333333333331</v>
      </c>
      <c r="F9" s="12">
        <f>CONVERT(16509,"TJ","GWh")</f>
        <v>4585.833333333333</v>
      </c>
      <c r="G9" s="12">
        <f>CONVERT(12697,"TJ","GWh")</f>
        <v>3526.9444444444448</v>
      </c>
      <c r="H9" s="12">
        <f>CONVERT(72811+3570,"TJ","GWh")</f>
        <v>21216.944444444445</v>
      </c>
      <c r="I9" s="12">
        <f>CONVERT(55,"TJ","GWh")</f>
        <v>15.277777777777777</v>
      </c>
      <c r="J9" s="12">
        <f>CONVERT(2134,"TJ","GWh")</f>
        <v>592.77777777777771</v>
      </c>
      <c r="K9" s="12">
        <f>CONVERT(949+109+309,"TJ","GWh")</f>
        <v>379.72222222222223</v>
      </c>
      <c r="L9" s="12">
        <f>CONVERT(4055,"TJ","GWh")</f>
        <v>1126.3888888888889</v>
      </c>
      <c r="M9" s="12"/>
      <c r="N9" s="12">
        <f>CONVERT(134933,"TJ","GWh")</f>
        <v>37481.388888888891</v>
      </c>
      <c r="O9" s="120">
        <v>8</v>
      </c>
      <c r="P9" s="177"/>
      <c r="Q9" s="177"/>
      <c r="V9" s="56"/>
    </row>
    <row r="10" spans="1:22" ht="15" thickBot="1">
      <c r="A10" s="119" t="s">
        <v>34</v>
      </c>
      <c r="B10" s="12">
        <f>0.49*N10</f>
        <v>2612.19</v>
      </c>
      <c r="C10" s="12">
        <f t="shared" si="0"/>
        <v>2718.81</v>
      </c>
      <c r="D10" s="12">
        <v>2237</v>
      </c>
      <c r="E10" s="12">
        <v>442</v>
      </c>
      <c r="F10" s="12">
        <v>191</v>
      </c>
      <c r="G10" s="12"/>
      <c r="H10" s="12">
        <v>2449</v>
      </c>
      <c r="I10" s="12"/>
      <c r="J10" s="12"/>
      <c r="K10" s="12">
        <v>12</v>
      </c>
      <c r="L10" s="12"/>
      <c r="M10" s="12"/>
      <c r="N10" s="12">
        <f>SUM(D10:L10)</f>
        <v>5331</v>
      </c>
      <c r="O10" s="120">
        <v>9.1199999999999992</v>
      </c>
      <c r="P10" s="177"/>
      <c r="Q10" s="177"/>
      <c r="V10" s="56"/>
    </row>
    <row r="11" spans="1:22" ht="15" thickBot="1">
      <c r="A11" s="119" t="s">
        <v>35</v>
      </c>
      <c r="B11" s="12">
        <f>0.672*N11</f>
        <v>24931.200000000001</v>
      </c>
      <c r="C11" s="12">
        <f t="shared" si="0"/>
        <v>12168.8</v>
      </c>
      <c r="D11" s="12">
        <f>0.125*N11</f>
        <v>4637.5</v>
      </c>
      <c r="E11" s="12">
        <f>0.025*N11</f>
        <v>927.5</v>
      </c>
      <c r="F11" s="12">
        <f>0.347*N11</f>
        <v>12873.699999999999</v>
      </c>
      <c r="G11" s="12"/>
      <c r="H11" s="12">
        <f>0.364*N11</f>
        <v>13504.4</v>
      </c>
      <c r="I11" s="12"/>
      <c r="J11" s="12"/>
      <c r="K11" s="12"/>
      <c r="L11" s="12"/>
      <c r="M11" s="12">
        <f t="shared" si="1"/>
        <v>5156.9000000000015</v>
      </c>
      <c r="N11" s="12">
        <v>37100</v>
      </c>
      <c r="O11" s="120">
        <v>17</v>
      </c>
      <c r="P11" s="177"/>
      <c r="Q11" s="177"/>
      <c r="V11" s="56"/>
    </row>
    <row r="12" spans="1:22" ht="15" thickBot="1">
      <c r="A12" s="119" t="s">
        <v>36</v>
      </c>
      <c r="B12" s="12">
        <v>11824</v>
      </c>
      <c r="C12" s="12">
        <f t="shared" si="0"/>
        <v>21636</v>
      </c>
      <c r="D12" s="12">
        <f>12467+7+236</f>
        <v>12710</v>
      </c>
      <c r="E12" s="12">
        <f>86+141</f>
        <v>227</v>
      </c>
      <c r="F12" s="12">
        <v>1531</v>
      </c>
      <c r="G12" s="12"/>
      <c r="H12" s="12">
        <f>8388+7371+144+128+146</f>
        <v>16177</v>
      </c>
      <c r="I12" s="12">
        <v>1680</v>
      </c>
      <c r="J12" s="12"/>
      <c r="K12" s="12">
        <f>202+73</f>
        <v>275</v>
      </c>
      <c r="L12" s="12">
        <v>856</v>
      </c>
      <c r="M12" s="12">
        <f t="shared" si="1"/>
        <v>4</v>
      </c>
      <c r="N12" s="12">
        <v>33460</v>
      </c>
      <c r="O12" s="120">
        <v>19</v>
      </c>
      <c r="P12" s="177"/>
      <c r="Q12" s="177"/>
      <c r="V12" s="56"/>
    </row>
    <row r="13" spans="1:22" ht="15" thickBot="1">
      <c r="A13" s="119" t="s">
        <v>37</v>
      </c>
      <c r="B13" s="12">
        <v>96821</v>
      </c>
      <c r="C13" s="12">
        <f>N13-B13</f>
        <v>40298</v>
      </c>
      <c r="D13" s="12">
        <v>53858</v>
      </c>
      <c r="E13" s="12">
        <v>1447</v>
      </c>
      <c r="F13" s="12">
        <v>36444</v>
      </c>
      <c r="G13" s="12">
        <f>15858</f>
        <v>15858</v>
      </c>
      <c r="H13" s="12">
        <v>26268</v>
      </c>
      <c r="I13" s="12">
        <v>912</v>
      </c>
      <c r="J13" s="12">
        <v>32</v>
      </c>
      <c r="K13" s="12"/>
      <c r="L13" s="12">
        <v>2300</v>
      </c>
      <c r="M13" s="12"/>
      <c r="N13" s="12">
        <f>SUM(D13:L13)</f>
        <v>137119</v>
      </c>
      <c r="O13" s="121">
        <v>22</v>
      </c>
      <c r="P13" s="177"/>
      <c r="Q13" s="177"/>
      <c r="V13" s="56"/>
    </row>
    <row r="14" spans="1:22" ht="15" thickBot="1">
      <c r="A14" s="122" t="s">
        <v>38</v>
      </c>
      <c r="B14" s="12">
        <v>340</v>
      </c>
      <c r="C14" s="12"/>
      <c r="D14" s="12"/>
      <c r="E14" s="12"/>
      <c r="F14" s="12">
        <v>340</v>
      </c>
      <c r="G14" s="12"/>
      <c r="H14" s="12"/>
      <c r="I14" s="12"/>
      <c r="J14" s="12"/>
      <c r="K14" s="12"/>
      <c r="L14" s="12"/>
      <c r="M14" s="12"/>
      <c r="N14" s="12">
        <v>340</v>
      </c>
      <c r="O14" s="120">
        <v>23</v>
      </c>
      <c r="P14" s="177"/>
      <c r="Q14" s="177"/>
      <c r="V14" s="56"/>
    </row>
    <row r="15" spans="1:22" ht="15" thickBot="1">
      <c r="A15" s="119" t="s">
        <v>39</v>
      </c>
      <c r="B15" s="12">
        <f>CONVERT(4075511+12457837,"GJ","GWh")</f>
        <v>4592.5966666666664</v>
      </c>
      <c r="C15" s="12">
        <f>CONVERT(14609391+2292345+534293,"GJ","GWh")</f>
        <v>4843.341388888889</v>
      </c>
      <c r="D15" s="12">
        <v>6445</v>
      </c>
      <c r="E15" s="12">
        <f>CONVERT(58872,"GJ","GWh")</f>
        <v>16.353333333333332</v>
      </c>
      <c r="F15" s="12">
        <f>CONVERT(540817,"GJ","GWh")</f>
        <v>150.22694444444446</v>
      </c>
      <c r="G15" s="12">
        <f>CONVERT(2572631,"GJ","GWh")</f>
        <v>714.61972222222221</v>
      </c>
      <c r="H15" s="12">
        <f>CONVERT(5281135+19894,"GJ","GWh")</f>
        <v>1472.5080555555555</v>
      </c>
      <c r="I15" s="12">
        <f>CONVERT(2292345,"GJ","GWh")</f>
        <v>636.76250000000005</v>
      </c>
      <c r="J15" s="12">
        <f>CONVERT(456,"GJ","GWh")</f>
        <v>0.12666666666666668</v>
      </c>
      <c r="K15" s="12"/>
      <c r="L15" s="12"/>
      <c r="M15" s="12"/>
      <c r="N15" s="12">
        <f>B15+C15</f>
        <v>9435.9380555555545</v>
      </c>
      <c r="O15" s="120">
        <v>24</v>
      </c>
      <c r="P15" s="177"/>
      <c r="Q15" s="177"/>
      <c r="V15" s="56"/>
    </row>
    <row r="16" spans="1:22" ht="15" thickBot="1">
      <c r="A16" s="123" t="s">
        <v>40</v>
      </c>
      <c r="B16" s="12"/>
      <c r="C16" s="12"/>
      <c r="D16" s="12"/>
      <c r="E16" s="12"/>
      <c r="F16" s="12"/>
      <c r="G16" s="12"/>
      <c r="H16" s="12"/>
      <c r="I16" s="12"/>
      <c r="J16" s="12"/>
      <c r="K16" s="12"/>
      <c r="L16" s="12"/>
      <c r="M16" s="12"/>
      <c r="N16" s="12"/>
      <c r="O16" s="120"/>
      <c r="P16" s="177"/>
      <c r="Q16" s="177"/>
      <c r="V16" s="56"/>
    </row>
    <row r="17" spans="1:22" ht="15" thickBot="1">
      <c r="A17" s="119" t="s">
        <v>41</v>
      </c>
      <c r="B17" s="12">
        <f>5758+1651</f>
        <v>7409</v>
      </c>
      <c r="C17" s="12">
        <f>2674+748+288+51+61</f>
        <v>3822</v>
      </c>
      <c r="D17" s="12">
        <f>0.703*N17</f>
        <v>7895.3929999999991</v>
      </c>
      <c r="E17" s="12">
        <f>0.01*N17</f>
        <v>112.31</v>
      </c>
      <c r="F17" s="12">
        <f>0.025*N17</f>
        <v>280.77500000000003</v>
      </c>
      <c r="G17" s="12">
        <f>0.142*N17</f>
        <v>1594.8019999999999</v>
      </c>
      <c r="H17" s="12">
        <f>0.096*N17</f>
        <v>1078.1759999999999</v>
      </c>
      <c r="I17" s="12">
        <f>0.014*N17</f>
        <v>157.23400000000001</v>
      </c>
      <c r="J17" s="12">
        <v>1</v>
      </c>
      <c r="K17" s="12">
        <v>61</v>
      </c>
      <c r="L17" s="12">
        <v>51</v>
      </c>
      <c r="M17" s="12"/>
      <c r="N17" s="12">
        <v>11231</v>
      </c>
      <c r="O17" s="120">
        <v>27</v>
      </c>
      <c r="P17" s="177"/>
      <c r="Q17" s="177"/>
      <c r="V17" s="56"/>
    </row>
    <row r="18" spans="1:22" ht="15" thickBot="1">
      <c r="A18" s="119" t="s">
        <v>42</v>
      </c>
      <c r="B18" s="12">
        <v>5892</v>
      </c>
      <c r="C18" s="12">
        <v>2354</v>
      </c>
      <c r="D18" s="12">
        <v>4334</v>
      </c>
      <c r="E18" s="12">
        <v>34.4</v>
      </c>
      <c r="F18" s="12">
        <v>27.5</v>
      </c>
      <c r="G18" s="12"/>
      <c r="H18" s="12">
        <v>3848</v>
      </c>
      <c r="I18" s="12"/>
      <c r="J18" s="12"/>
      <c r="K18" s="12"/>
      <c r="L18" s="12"/>
      <c r="M18" s="12">
        <f t="shared" si="1"/>
        <v>2.1000000000003638</v>
      </c>
      <c r="N18" s="12">
        <f>B18+C18</f>
        <v>8246</v>
      </c>
      <c r="O18" s="120">
        <v>29</v>
      </c>
      <c r="P18" s="177"/>
      <c r="Q18" s="177"/>
      <c r="V18" s="56"/>
    </row>
    <row r="19" spans="1:22" ht="15" thickBot="1">
      <c r="A19" s="119" t="s">
        <v>43</v>
      </c>
      <c r="B19" s="12">
        <f>0.39*N19</f>
        <v>3510</v>
      </c>
      <c r="C19" s="12">
        <f>N19-B19</f>
        <v>5490</v>
      </c>
      <c r="D19" s="12">
        <f>0.361*N19</f>
        <v>3249</v>
      </c>
      <c r="E19" s="12">
        <f>0.03*N19</f>
        <v>270</v>
      </c>
      <c r="F19" s="12"/>
      <c r="G19" s="12"/>
      <c r="H19" s="12">
        <f>0.613*N19</f>
        <v>5517</v>
      </c>
      <c r="I19" s="12"/>
      <c r="J19" s="12"/>
      <c r="K19" s="12"/>
      <c r="L19" s="12"/>
      <c r="M19" s="12"/>
      <c r="N19" s="12">
        <v>9000</v>
      </c>
      <c r="O19" s="120">
        <v>31.32</v>
      </c>
      <c r="P19" s="177"/>
      <c r="Q19" s="177"/>
      <c r="V19" s="56"/>
    </row>
    <row r="20" spans="1:22" ht="15" thickBot="1">
      <c r="A20" s="122" t="s">
        <v>44</v>
      </c>
      <c r="B20" s="12"/>
      <c r="C20" s="12"/>
      <c r="D20" s="12"/>
      <c r="E20" s="12"/>
      <c r="F20" s="12"/>
      <c r="G20" s="12"/>
      <c r="H20" s="12"/>
      <c r="I20" s="12"/>
      <c r="J20" s="12"/>
      <c r="K20" s="12"/>
      <c r="L20" s="12"/>
      <c r="M20" s="12"/>
      <c r="N20" s="12"/>
      <c r="O20" s="120"/>
      <c r="P20" s="177"/>
      <c r="Q20" s="177"/>
      <c r="V20" s="56"/>
    </row>
    <row r="21" spans="1:22" ht="15" thickBot="1">
      <c r="A21" s="119" t="s">
        <v>46</v>
      </c>
      <c r="B21" s="12">
        <f>0.63*N21</f>
        <v>4830</v>
      </c>
      <c r="C21" s="12">
        <f>N21-B21</f>
        <v>2836.6666666666661</v>
      </c>
      <c r="D21" s="12">
        <f>CONVERT(18.9,"PJ","GWh")</f>
        <v>5250</v>
      </c>
      <c r="E21" s="12"/>
      <c r="F21" s="12"/>
      <c r="G21" s="12">
        <f>CONVERT(2.3,"PJ","GWh")</f>
        <v>638.88888888888891</v>
      </c>
      <c r="H21" s="12">
        <f>CONVERT(6.4,"PJ","GWh")</f>
        <v>1777.7777777777778</v>
      </c>
      <c r="I21" s="12"/>
      <c r="J21" s="12"/>
      <c r="K21" s="12"/>
      <c r="L21" s="12"/>
      <c r="M21" s="12"/>
      <c r="N21" s="12">
        <f>CONVERT(27.6,"PJ","GWh")</f>
        <v>7666.6666666666661</v>
      </c>
      <c r="O21" s="120">
        <v>34</v>
      </c>
      <c r="P21" s="177"/>
      <c r="Q21" s="177"/>
      <c r="V21" s="56"/>
    </row>
    <row r="22" spans="1:22" ht="15" thickBot="1">
      <c r="A22" s="119" t="s">
        <v>47</v>
      </c>
      <c r="B22" s="12">
        <f>0.6656*N22</f>
        <v>49406.378666666671</v>
      </c>
      <c r="C22" s="12">
        <f>N22-B22</f>
        <v>24821.954666666672</v>
      </c>
      <c r="D22" s="12">
        <f>0.086*N22</f>
        <v>6383.6366666666672</v>
      </c>
      <c r="E22" s="12">
        <f>0.0475*N22</f>
        <v>3525.8458333333338</v>
      </c>
      <c r="F22" s="12">
        <f>0.725*N22</f>
        <v>53815.541666666672</v>
      </c>
      <c r="G22" s="12">
        <f>0.0024*N22</f>
        <v>178.148</v>
      </c>
      <c r="H22" s="12">
        <f>0.0948*N22</f>
        <v>7036.8460000000005</v>
      </c>
      <c r="I22" s="12"/>
      <c r="J22" s="12"/>
      <c r="K22" s="12"/>
      <c r="L22" s="12"/>
      <c r="M22" s="12">
        <f t="shared" si="1"/>
        <v>3288.3151666666672</v>
      </c>
      <c r="N22" s="12">
        <f>CONVERT(267222,"TJ","GWh")</f>
        <v>74228.333333333343</v>
      </c>
      <c r="O22" s="120">
        <v>37</v>
      </c>
      <c r="P22" s="177"/>
      <c r="Q22" s="177"/>
      <c r="V22" s="56"/>
    </row>
    <row r="23" spans="1:22" ht="15" thickBot="1">
      <c r="A23" s="123" t="s">
        <v>48</v>
      </c>
      <c r="B23" s="12"/>
      <c r="C23" s="12"/>
      <c r="D23" s="12"/>
      <c r="E23" s="12"/>
      <c r="F23" s="12"/>
      <c r="G23" s="12"/>
      <c r="H23" s="12"/>
      <c r="I23" s="12"/>
      <c r="J23" s="12"/>
      <c r="K23" s="12"/>
      <c r="L23" s="12"/>
      <c r="M23" s="12"/>
      <c r="N23" s="12"/>
      <c r="O23" s="120"/>
      <c r="P23" s="177"/>
      <c r="Q23" s="177"/>
      <c r="V23" s="56"/>
    </row>
    <row r="24" spans="1:22" ht="15" thickBot="1">
      <c r="A24" s="119" t="s">
        <v>50</v>
      </c>
      <c r="B24" s="12">
        <f>0.92*N24</f>
        <v>12953.6</v>
      </c>
      <c r="C24" s="12">
        <f>N24-B24</f>
        <v>1126.3999999999996</v>
      </c>
      <c r="D24" s="12">
        <f>0.8018*N24</f>
        <v>11289.343999999999</v>
      </c>
      <c r="E24" s="12">
        <f>0.0045*N24</f>
        <v>63.359999999999992</v>
      </c>
      <c r="F24" s="12">
        <f>0.1767*N24</f>
        <v>2487.9360000000001</v>
      </c>
      <c r="G24" s="12">
        <f>0.0106*N24</f>
        <v>149.24799999999999</v>
      </c>
      <c r="H24" s="12">
        <f>0.0064*N24</f>
        <v>90.112000000000009</v>
      </c>
      <c r="I24" s="12"/>
      <c r="J24" s="12"/>
      <c r="K24" s="12"/>
      <c r="L24" s="12"/>
      <c r="M24" s="12"/>
      <c r="N24" s="12">
        <v>14080</v>
      </c>
      <c r="O24" s="124" t="s">
        <v>123</v>
      </c>
      <c r="P24" s="177"/>
      <c r="Q24" s="177"/>
      <c r="V24" s="56"/>
    </row>
    <row r="25" spans="1:22" ht="15" thickBot="1">
      <c r="A25" s="119" t="s">
        <v>51</v>
      </c>
      <c r="B25" s="12">
        <v>6000</v>
      </c>
      <c r="C25" s="12">
        <f>N25-B25</f>
        <v>9204</v>
      </c>
      <c r="D25" s="12">
        <v>8637</v>
      </c>
      <c r="E25" s="12">
        <f>128*11.68</f>
        <v>1495.04</v>
      </c>
      <c r="F25" s="12">
        <f>586*7.006</f>
        <v>4105.5160000000005</v>
      </c>
      <c r="G25" s="12"/>
      <c r="H25" s="12">
        <f>877*1.25+326</f>
        <v>1422.25</v>
      </c>
      <c r="I25" s="12"/>
      <c r="J25" s="12"/>
      <c r="K25" s="12"/>
      <c r="L25" s="12"/>
      <c r="M25" s="12"/>
      <c r="N25" s="12">
        <v>15204</v>
      </c>
      <c r="O25" s="120">
        <v>40</v>
      </c>
      <c r="P25" s="177"/>
      <c r="Q25" s="177"/>
      <c r="V25" s="56"/>
    </row>
    <row r="26" spans="1:22" ht="15" thickBot="1">
      <c r="A26" s="119" t="s">
        <v>52</v>
      </c>
      <c r="B26" s="12">
        <f>0.789*N26</f>
        <v>1886.9724000000001</v>
      </c>
      <c r="C26" s="12">
        <f>N26-B26</f>
        <v>504.6275999999998</v>
      </c>
      <c r="D26" s="12">
        <f>0.301*N26</f>
        <v>719.87159999999994</v>
      </c>
      <c r="E26" s="12">
        <f>0.013*N26</f>
        <v>31.090799999999998</v>
      </c>
      <c r="F26" s="12">
        <f>0.49*N26</f>
        <v>1171.884</v>
      </c>
      <c r="G26" s="12"/>
      <c r="H26" s="12">
        <f>0.178*N26</f>
        <v>425.70479999999998</v>
      </c>
      <c r="I26" s="12">
        <f>0.007*N26</f>
        <v>16.741199999999999</v>
      </c>
      <c r="J26" s="12"/>
      <c r="K26" s="12"/>
      <c r="L26" s="12">
        <f>0.017*N26</f>
        <v>40.657200000000003</v>
      </c>
      <c r="M26" s="12"/>
      <c r="N26" s="12">
        <v>2391.6</v>
      </c>
      <c r="O26" s="120">
        <v>41</v>
      </c>
      <c r="P26" s="177"/>
      <c r="Q26" s="177"/>
      <c r="V26" s="56"/>
    </row>
    <row r="27" spans="1:22" ht="15" thickBot="1">
      <c r="A27" s="119" t="s">
        <v>53</v>
      </c>
      <c r="B27" s="12"/>
      <c r="C27" s="12"/>
      <c r="D27" s="12"/>
      <c r="E27" s="12"/>
      <c r="F27" s="12"/>
      <c r="G27" s="12"/>
      <c r="H27" s="12"/>
      <c r="I27" s="12"/>
      <c r="J27" s="12"/>
      <c r="K27" s="12"/>
      <c r="L27" s="12"/>
      <c r="M27" s="12"/>
      <c r="N27" s="12"/>
      <c r="O27" s="120">
        <v>42</v>
      </c>
      <c r="P27" s="177"/>
      <c r="Q27" s="177"/>
      <c r="V27" s="56"/>
    </row>
    <row r="28" spans="1:22" ht="15" thickBot="1">
      <c r="A28" s="119" t="s">
        <v>54</v>
      </c>
      <c r="B28" s="12">
        <v>25427</v>
      </c>
      <c r="C28" s="12">
        <f>N28-B28</f>
        <v>28245</v>
      </c>
      <c r="D28" s="12">
        <f>0.0249*N28</f>
        <v>1336.4327999999998</v>
      </c>
      <c r="E28" s="12">
        <f>0.032*N28</f>
        <v>1717.5040000000001</v>
      </c>
      <c r="F28" s="12">
        <f>0.059*N28</f>
        <v>3166.6479999999997</v>
      </c>
      <c r="G28" s="12">
        <f>0.236*N28</f>
        <v>12666.591999999999</v>
      </c>
      <c r="H28" s="12">
        <f>0.394*N28</f>
        <v>21146.768</v>
      </c>
      <c r="I28" s="12"/>
      <c r="J28" s="12"/>
      <c r="K28" s="12">
        <f>0.104*N28</f>
        <v>5581.8879999999999</v>
      </c>
      <c r="L28" s="12">
        <f>0.077*N28</f>
        <v>4132.7439999999997</v>
      </c>
      <c r="M28" s="12">
        <f>N28-SUM(D28:L28)</f>
        <v>3923.4232000000047</v>
      </c>
      <c r="N28" s="12">
        <v>53672</v>
      </c>
      <c r="O28" s="120">
        <v>43</v>
      </c>
      <c r="P28" s="177"/>
      <c r="Q28" s="177"/>
      <c r="V28" s="56"/>
    </row>
    <row r="29" spans="1:22" ht="15" thickBot="1">
      <c r="A29" s="125" t="s">
        <v>55</v>
      </c>
      <c r="B29" s="94">
        <f>SUM(B4:B28)</f>
        <v>320588.2710666667</v>
      </c>
      <c r="C29" s="94">
        <f>SUM(C4:C28)</f>
        <v>192471.8781</v>
      </c>
      <c r="D29" s="94">
        <f t="shared" ref="D29:L29" si="2">SUM(D4:D28)</f>
        <v>155928.9280666667</v>
      </c>
      <c r="E29" s="94">
        <f t="shared" si="2"/>
        <v>12133.737300000003</v>
      </c>
      <c r="F29" s="94">
        <f t="shared" si="2"/>
        <v>137038.92205555554</v>
      </c>
      <c r="G29" s="94">
        <f t="shared" si="2"/>
        <v>36902.243055555555</v>
      </c>
      <c r="H29" s="94">
        <f t="shared" si="2"/>
        <v>137808.16041111114</v>
      </c>
      <c r="I29" s="94">
        <f t="shared" si="2"/>
        <v>3422.3314777777778</v>
      </c>
      <c r="J29" s="94">
        <f t="shared" si="2"/>
        <v>626.18222222222221</v>
      </c>
      <c r="K29" s="94">
        <f t="shared" si="2"/>
        <v>6333.4991111111112</v>
      </c>
      <c r="L29" s="94">
        <f t="shared" si="2"/>
        <v>8712.7900888888871</v>
      </c>
      <c r="M29" s="94">
        <f>SUM(M4:M28)</f>
        <v>14660.293922222229</v>
      </c>
      <c r="N29" s="94">
        <f>SUM(N4:N28)</f>
        <v>513060.14916666667</v>
      </c>
      <c r="O29" s="120"/>
      <c r="P29" s="177"/>
      <c r="Q29" s="177"/>
      <c r="V29" s="56"/>
    </row>
    <row r="30" spans="1:22" ht="15" thickBot="1">
      <c r="A30" s="119" t="s">
        <v>56</v>
      </c>
      <c r="B30" s="12">
        <f>0.37*N30</f>
        <v>4884.0000000000009</v>
      </c>
      <c r="C30" s="12">
        <f>N30-B30</f>
        <v>8316</v>
      </c>
      <c r="D30" s="12">
        <f>0.88*N30</f>
        <v>11616.000000000002</v>
      </c>
      <c r="E30" s="12"/>
      <c r="F30" s="12"/>
      <c r="G30" s="12"/>
      <c r="H30" s="12">
        <f>0.11*N30</f>
        <v>1452.0000000000002</v>
      </c>
      <c r="I30" s="12"/>
      <c r="J30" s="12"/>
      <c r="K30" s="12">
        <f>0.01*N30</f>
        <v>132.00000000000003</v>
      </c>
      <c r="L30" s="12"/>
      <c r="M30" s="12">
        <f>N30-SUM(D30:L30)</f>
        <v>0</v>
      </c>
      <c r="N30" s="12">
        <f>'1 DH Consumption'!E31*1.1</f>
        <v>13200.000000000002</v>
      </c>
      <c r="O30" s="120">
        <v>48</v>
      </c>
      <c r="P30" s="177"/>
      <c r="Q30" s="177"/>
      <c r="V30" s="56"/>
    </row>
    <row r="31" spans="1:22" ht="15" thickBot="1">
      <c r="A31" s="119" t="s">
        <v>58</v>
      </c>
      <c r="B31" s="12">
        <v>2800</v>
      </c>
      <c r="C31" s="12">
        <f>N31-B31</f>
        <v>6569.4444444444434</v>
      </c>
      <c r="D31" s="12"/>
      <c r="E31" s="12">
        <f>CONVERT(809,"TJ","GWh")</f>
        <v>224.7222222222222</v>
      </c>
      <c r="F31" s="12"/>
      <c r="G31" s="12"/>
      <c r="H31" s="12"/>
      <c r="I31" s="12">
        <f>CONVERT(29521,"TJ","GWh")</f>
        <v>8200.2777777777774</v>
      </c>
      <c r="J31" s="12"/>
      <c r="K31" s="12"/>
      <c r="L31" s="12"/>
      <c r="M31" s="12">
        <v>944</v>
      </c>
      <c r="N31" s="12">
        <f>CONVERT(33730,"TJ","GWh")</f>
        <v>9369.4444444444434</v>
      </c>
      <c r="O31" s="120">
        <v>25</v>
      </c>
      <c r="P31" s="177"/>
      <c r="Q31" s="177"/>
      <c r="V31" s="56"/>
    </row>
    <row r="32" spans="1:22" ht="15" thickBot="1">
      <c r="A32" s="119" t="s">
        <v>59</v>
      </c>
      <c r="B32" s="12">
        <f>0.5*N32</f>
        <v>3237</v>
      </c>
      <c r="C32" s="12">
        <f>N32-B32</f>
        <v>3237</v>
      </c>
      <c r="D32" s="12">
        <v>320</v>
      </c>
      <c r="E32" s="12">
        <v>54.7</v>
      </c>
      <c r="F32" s="12"/>
      <c r="G32" s="12">
        <v>2999.8</v>
      </c>
      <c r="H32" s="12">
        <f>65.3+1612</f>
        <v>1677.3</v>
      </c>
      <c r="I32" s="12"/>
      <c r="J32" s="12"/>
      <c r="K32" s="12">
        <f>645.5+694.5</f>
        <v>1340</v>
      </c>
      <c r="L32" s="12">
        <v>198</v>
      </c>
      <c r="M32" s="12"/>
      <c r="N32" s="12">
        <v>6474</v>
      </c>
      <c r="O32" s="120">
        <v>35.36</v>
      </c>
      <c r="P32" s="177"/>
      <c r="Q32" s="177"/>
      <c r="V32" s="56"/>
    </row>
    <row r="33" spans="1:22" ht="15" thickBot="1">
      <c r="A33" s="126" t="s">
        <v>60</v>
      </c>
      <c r="B33" s="127">
        <f>0.34*N33</f>
        <v>26267.040000000001</v>
      </c>
      <c r="C33" s="127">
        <f>N33-B33</f>
        <v>50988.959999999999</v>
      </c>
      <c r="D33" s="127">
        <f>0.75*N33</f>
        <v>57942</v>
      </c>
      <c r="E33" s="127">
        <f>0.07*N33</f>
        <v>5407.92</v>
      </c>
      <c r="F33" s="127">
        <f>0.1*N33</f>
        <v>7725.6</v>
      </c>
      <c r="G33" s="127"/>
      <c r="H33" s="127">
        <f>0.08*N33</f>
        <v>6180.4800000000005</v>
      </c>
      <c r="I33" s="127"/>
      <c r="J33" s="127"/>
      <c r="K33" s="127"/>
      <c r="L33" s="127"/>
      <c r="M33" s="127"/>
      <c r="N33" s="127">
        <v>77256</v>
      </c>
      <c r="O33" s="128" t="s">
        <v>124</v>
      </c>
      <c r="P33" s="177"/>
      <c r="Q33" s="177"/>
      <c r="R33" s="112"/>
      <c r="S33" s="113"/>
      <c r="T33" s="109"/>
      <c r="V33" s="56"/>
    </row>
    <row r="34" spans="1:22">
      <c r="B34" s="57"/>
      <c r="D34" s="61"/>
      <c r="E34" s="61"/>
      <c r="F34" s="61"/>
      <c r="G34" s="61"/>
      <c r="H34" s="61"/>
      <c r="I34" s="61"/>
      <c r="J34" s="61"/>
      <c r="K34" s="61"/>
      <c r="L34" s="61"/>
      <c r="M34" s="61"/>
      <c r="N34" s="61"/>
    </row>
    <row r="35" spans="1:22">
      <c r="D35" s="149"/>
      <c r="E35" s="149"/>
      <c r="F35" s="149"/>
      <c r="G35" s="149"/>
      <c r="H35" s="149"/>
      <c r="I35" s="149"/>
      <c r="J35" s="149"/>
      <c r="K35" s="149"/>
      <c r="L35" s="149"/>
      <c r="M35" s="149"/>
      <c r="N35" s="62"/>
    </row>
    <row r="36" spans="1:22">
      <c r="C36" s="209"/>
      <c r="D36" s="149"/>
      <c r="E36" s="149"/>
      <c r="F36" s="149"/>
      <c r="G36" s="149"/>
      <c r="H36" s="149"/>
      <c r="I36" s="149"/>
      <c r="J36" s="149"/>
      <c r="K36" s="149"/>
      <c r="L36" s="149"/>
      <c r="M36" s="149"/>
    </row>
    <row r="37" spans="1:22">
      <c r="C37" s="210"/>
      <c r="D37" s="209"/>
      <c r="E37" s="209"/>
      <c r="F37" s="209"/>
      <c r="G37" s="209"/>
      <c r="H37" s="209"/>
      <c r="I37" s="209"/>
      <c r="J37" s="209"/>
      <c r="K37" s="209"/>
      <c r="L37" s="209"/>
      <c r="M37" s="209"/>
    </row>
    <row r="38" spans="1:22">
      <c r="C38" s="108"/>
      <c r="D38" s="209"/>
      <c r="E38" s="209"/>
      <c r="F38" s="209"/>
      <c r="G38" s="209"/>
      <c r="H38" s="209"/>
    </row>
    <row r="39" spans="1:22" ht="25.8" outlineLevel="1" thickBot="1">
      <c r="B39" s="110" t="s">
        <v>125</v>
      </c>
      <c r="C39" s="110" t="s">
        <v>126</v>
      </c>
      <c r="D39" s="61"/>
      <c r="E39" s="61"/>
      <c r="F39" s="109"/>
      <c r="G39" s="56"/>
      <c r="H39" s="61"/>
    </row>
    <row r="40" spans="1:22" ht="15" outlineLevel="1" thickBot="1">
      <c r="A40" s="55" t="s">
        <v>27</v>
      </c>
      <c r="B40" s="61">
        <f>B4/C40*1000</f>
        <v>3855.0419367859222</v>
      </c>
      <c r="C40" s="61">
        <v>3501.9074296388599</v>
      </c>
      <c r="D40" s="61"/>
      <c r="E40" s="61"/>
      <c r="F40" s="109"/>
      <c r="G40" s="56"/>
      <c r="H40" s="61"/>
    </row>
    <row r="41" spans="1:22" ht="15" outlineLevel="1" thickBot="1">
      <c r="A41" s="55" t="s">
        <v>28</v>
      </c>
      <c r="B41" s="61">
        <f>B5/C41*1000</f>
        <v>0</v>
      </c>
      <c r="C41" s="61">
        <v>5107.6182805135486</v>
      </c>
      <c r="D41" s="61"/>
      <c r="E41" s="61"/>
    </row>
    <row r="42" spans="1:22" ht="15" outlineLevel="1" thickBot="1">
      <c r="A42" s="55" t="s">
        <v>29</v>
      </c>
      <c r="B42" s="61">
        <f>B6/C42*1000</f>
        <v>2019.592999950142</v>
      </c>
      <c r="C42" s="61">
        <v>2572.7956078914285</v>
      </c>
      <c r="D42" s="61"/>
      <c r="E42" s="61"/>
    </row>
    <row r="43" spans="1:22" ht="15" outlineLevel="1" thickBot="1">
      <c r="A43" s="111" t="s">
        <v>30</v>
      </c>
      <c r="B43" s="61"/>
      <c r="C43" s="61"/>
      <c r="E43" s="61"/>
    </row>
    <row r="44" spans="1:22" ht="15" outlineLevel="1" thickBot="1">
      <c r="A44" s="55" t="s">
        <v>31</v>
      </c>
      <c r="B44" s="61">
        <f t="shared" ref="B44:B57" si="3">B7/C44*1000</f>
        <v>939.65100289442933</v>
      </c>
      <c r="C44" s="61">
        <v>2030.541120184773</v>
      </c>
      <c r="D44" s="61"/>
      <c r="E44" s="61"/>
    </row>
    <row r="45" spans="1:22" ht="15" outlineLevel="1" thickBot="1">
      <c r="A45" s="55" t="s">
        <v>32</v>
      </c>
      <c r="B45" s="61">
        <f t="shared" si="3"/>
        <v>12800.503887872275</v>
      </c>
      <c r="C45" s="61">
        <v>1306.6759916348385</v>
      </c>
      <c r="D45" s="61"/>
      <c r="E45" s="61"/>
    </row>
    <row r="46" spans="1:22" ht="15" outlineLevel="1" thickBot="1">
      <c r="A46" s="55" t="s">
        <v>33</v>
      </c>
      <c r="B46" s="61">
        <f t="shared" si="3"/>
        <v>8440.4103712656379</v>
      </c>
      <c r="C46" s="61">
        <v>2940.8785983589719</v>
      </c>
      <c r="D46" s="61"/>
      <c r="E46" s="61"/>
    </row>
    <row r="47" spans="1:22" ht="15" outlineLevel="1" thickBot="1">
      <c r="A47" s="55" t="s">
        <v>34</v>
      </c>
      <c r="B47" s="61">
        <f t="shared" si="3"/>
        <v>1880.7768000000001</v>
      </c>
      <c r="C47" s="61">
        <v>1388.8888888888889</v>
      </c>
      <c r="D47" s="61"/>
      <c r="E47" s="61"/>
    </row>
    <row r="48" spans="1:22" ht="15" outlineLevel="1" thickBot="1">
      <c r="A48" s="55" t="s">
        <v>35</v>
      </c>
      <c r="B48" s="61">
        <f t="shared" si="3"/>
        <v>6041.3271257453353</v>
      </c>
      <c r="C48" s="61">
        <v>4126.7753725426965</v>
      </c>
      <c r="D48" s="61"/>
      <c r="E48" s="61"/>
    </row>
    <row r="49" spans="1:5" ht="15" outlineLevel="1" thickBot="1">
      <c r="A49" s="55" t="s">
        <v>36</v>
      </c>
      <c r="B49" s="61">
        <f t="shared" si="3"/>
        <v>3797.9902188610554</v>
      </c>
      <c r="C49" s="61">
        <v>3113.2255004979424</v>
      </c>
      <c r="D49" s="61"/>
      <c r="E49" s="61"/>
    </row>
    <row r="50" spans="1:5" ht="15" outlineLevel="1" thickBot="1">
      <c r="A50" s="55" t="s">
        <v>37</v>
      </c>
      <c r="B50" s="61">
        <f t="shared" si="3"/>
        <v>50522.342940110422</v>
      </c>
      <c r="C50" s="61">
        <v>1916.39964351559</v>
      </c>
      <c r="D50" s="61"/>
      <c r="E50" s="61"/>
    </row>
    <row r="51" spans="1:5" ht="15" outlineLevel="1" thickBot="1">
      <c r="A51" s="111" t="s">
        <v>38</v>
      </c>
      <c r="B51" s="61">
        <f t="shared" si="3"/>
        <v>65.306266109556219</v>
      </c>
      <c r="C51" s="61">
        <v>5206.2385473030135</v>
      </c>
      <c r="D51" s="61"/>
      <c r="E51" s="61"/>
    </row>
    <row r="52" spans="1:5" ht="15" outlineLevel="1" thickBot="1">
      <c r="A52" s="55" t="s">
        <v>39</v>
      </c>
      <c r="B52" s="61">
        <f t="shared" si="3"/>
        <v>2002.0510616002271</v>
      </c>
      <c r="C52" s="61">
        <v>2293.9458212398599</v>
      </c>
      <c r="D52" s="61"/>
      <c r="E52" s="61"/>
    </row>
    <row r="53" spans="1:5" ht="15" outlineLevel="1" thickBot="1">
      <c r="A53" s="111" t="s">
        <v>40</v>
      </c>
      <c r="B53" s="61">
        <f t="shared" si="3"/>
        <v>0</v>
      </c>
      <c r="C53" s="61">
        <v>5145.1512874344007</v>
      </c>
      <c r="D53" s="61"/>
      <c r="E53" s="61"/>
    </row>
    <row r="54" spans="1:5" ht="15" outlineLevel="1" thickBot="1">
      <c r="A54" s="55" t="s">
        <v>41</v>
      </c>
      <c r="B54" s="61">
        <f t="shared" si="3"/>
        <v>2280.8160308615516</v>
      </c>
      <c r="C54" s="61">
        <v>3248.3987747145643</v>
      </c>
      <c r="D54" s="61"/>
      <c r="E54" s="61"/>
    </row>
    <row r="55" spans="1:5" ht="15" outlineLevel="1" thickBot="1">
      <c r="A55" s="55" t="s">
        <v>42</v>
      </c>
      <c r="B55" s="61">
        <f t="shared" si="3"/>
        <v>1686.4745955226838</v>
      </c>
      <c r="C55" s="61">
        <v>3493.6784791435953</v>
      </c>
      <c r="D55" s="61"/>
      <c r="E55" s="61"/>
    </row>
    <row r="56" spans="1:5" ht="15" outlineLevel="1" thickBot="1">
      <c r="A56" s="55" t="s">
        <v>43</v>
      </c>
      <c r="B56" s="61">
        <f t="shared" si="3"/>
        <v>1832.3622833643401</v>
      </c>
      <c r="C56" s="61">
        <v>1915.5600570185304</v>
      </c>
      <c r="D56" s="61"/>
      <c r="E56" s="61"/>
    </row>
    <row r="57" spans="1:5" ht="15" outlineLevel="1" thickBot="1">
      <c r="A57" s="111" t="s">
        <v>44</v>
      </c>
      <c r="B57" s="61">
        <f t="shared" si="3"/>
        <v>0</v>
      </c>
      <c r="C57" s="61">
        <v>3878.2562466772993</v>
      </c>
      <c r="D57" s="61"/>
      <c r="E57" s="61"/>
    </row>
    <row r="58" spans="1:5" ht="15" outlineLevel="1" thickBot="1">
      <c r="A58" s="111" t="s">
        <v>45</v>
      </c>
      <c r="B58" s="61"/>
      <c r="C58" s="61"/>
      <c r="E58" s="61"/>
    </row>
    <row r="59" spans="1:5" ht="15" outlineLevel="1" thickBot="1">
      <c r="A59" s="55" t="s">
        <v>46</v>
      </c>
      <c r="B59" s="61">
        <f t="shared" ref="B59:B66" si="4">B21/C59*1000</f>
        <v>1594.5860424444993</v>
      </c>
      <c r="C59" s="61">
        <v>3028.9992960151671</v>
      </c>
      <c r="D59" s="61"/>
      <c r="E59" s="61"/>
    </row>
    <row r="60" spans="1:5" ht="15" outlineLevel="1" thickBot="1">
      <c r="A60" s="55" t="s">
        <v>47</v>
      </c>
      <c r="B60" s="61">
        <f t="shared" si="4"/>
        <v>18080.950445552018</v>
      </c>
      <c r="C60" s="61">
        <v>2732.5100422926507</v>
      </c>
      <c r="D60" s="61"/>
      <c r="E60" s="61"/>
    </row>
    <row r="61" spans="1:5" ht="15" outlineLevel="1" thickBot="1">
      <c r="A61" s="111" t="s">
        <v>48</v>
      </c>
      <c r="B61" s="61">
        <f t="shared" si="4"/>
        <v>0</v>
      </c>
      <c r="C61" s="61">
        <v>3941.538682191087</v>
      </c>
      <c r="D61" s="61"/>
      <c r="E61" s="61"/>
    </row>
    <row r="62" spans="1:5" ht="15" outlineLevel="1" thickBot="1">
      <c r="A62" s="55" t="s">
        <v>50</v>
      </c>
      <c r="B62" s="61">
        <f t="shared" si="4"/>
        <v>5448.3366058976526</v>
      </c>
      <c r="C62" s="61">
        <v>2377.5329861187611</v>
      </c>
      <c r="D62" s="61"/>
      <c r="E62" s="61"/>
    </row>
    <row r="63" spans="1:5" ht="15" outlineLevel="1" thickBot="1">
      <c r="A63" s="55" t="s">
        <v>51</v>
      </c>
      <c r="B63" s="61">
        <f t="shared" si="4"/>
        <v>2483.8789991285939</v>
      </c>
      <c r="C63" s="61">
        <v>2415.5766050218017</v>
      </c>
      <c r="D63" s="61"/>
      <c r="E63" s="61"/>
    </row>
    <row r="64" spans="1:5" ht="15" outlineLevel="1" thickBot="1">
      <c r="A64" s="55" t="s">
        <v>52</v>
      </c>
      <c r="B64" s="61">
        <f t="shared" si="4"/>
        <v>527.65890281286192</v>
      </c>
      <c r="C64" s="61">
        <v>3576.1216004143284</v>
      </c>
      <c r="D64" s="61"/>
      <c r="E64" s="61"/>
    </row>
    <row r="65" spans="1:5" ht="15" outlineLevel="1" thickBot="1">
      <c r="A65" s="55" t="s">
        <v>53</v>
      </c>
      <c r="B65" s="61">
        <f t="shared" si="4"/>
        <v>0</v>
      </c>
      <c r="C65" s="61">
        <v>3838.1207400194744</v>
      </c>
      <c r="D65" s="61"/>
      <c r="E65" s="61"/>
    </row>
    <row r="66" spans="1:5" ht="15" outlineLevel="1" thickBot="1">
      <c r="A66" s="55" t="s">
        <v>54</v>
      </c>
      <c r="B66" s="61">
        <f t="shared" si="4"/>
        <v>7901.5544700013243</v>
      </c>
      <c r="C66" s="61">
        <v>3217.9743994089986</v>
      </c>
      <c r="D66" s="61"/>
      <c r="E66" s="61"/>
    </row>
    <row r="67" spans="1:5" ht="15" outlineLevel="1" thickBot="1">
      <c r="A67" s="60" t="s">
        <v>55</v>
      </c>
      <c r="B67" s="61">
        <f>SUM(B40:B66)</f>
        <v>134201.61298678053</v>
      </c>
      <c r="D67" s="61"/>
      <c r="E67" s="61"/>
    </row>
    <row r="68" spans="1:5" ht="15" outlineLevel="1" thickBot="1">
      <c r="A68" s="55" t="s">
        <v>56</v>
      </c>
      <c r="B68" s="61">
        <f>B30/C68*1000</f>
        <v>999.9516558310321</v>
      </c>
      <c r="C68" s="61">
        <v>4884.2361243364749</v>
      </c>
      <c r="D68" s="61"/>
      <c r="E68" s="61"/>
    </row>
    <row r="69" spans="1:5" ht="15" outlineLevel="1" thickBot="1">
      <c r="A69" s="55" t="s">
        <v>58</v>
      </c>
      <c r="B69" s="61">
        <f t="shared" ref="B69:B71" si="5">B31/C69*1000</f>
        <v>351.1065260075211</v>
      </c>
      <c r="C69" s="61">
        <f>'7 CHP Data '!D35</f>
        <v>7974.787685774947</v>
      </c>
      <c r="D69" s="61"/>
      <c r="E69" s="61"/>
    </row>
    <row r="70" spans="1:5" ht="15" outlineLevel="1" thickBot="1">
      <c r="A70" s="55" t="s">
        <v>59</v>
      </c>
      <c r="B70" s="61">
        <f t="shared" si="5"/>
        <v>908.04155844155844</v>
      </c>
      <c r="C70" s="61">
        <f>'7 CHP Data '!D36</f>
        <v>3564.8148148148148</v>
      </c>
      <c r="D70" s="61"/>
      <c r="E70" s="61"/>
    </row>
    <row r="71" spans="1:5" outlineLevel="1">
      <c r="A71" s="63" t="s">
        <v>60</v>
      </c>
      <c r="B71" s="61">
        <f t="shared" si="5"/>
        <v>13155.164695110785</v>
      </c>
      <c r="C71" s="61">
        <f>'7 CHP Data '!D37</f>
        <v>1996.709323583181</v>
      </c>
    </row>
  </sheetData>
  <mergeCells count="2">
    <mergeCell ref="B2:C2"/>
    <mergeCell ref="D2:N2"/>
  </mergeCells>
  <phoneticPr fontId="18"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lcf76f155ced4ddcb4097134ff3c332f xmlns="d0236583-931d-4431-a90e-39669999edc8">
      <Terms xmlns="http://schemas.microsoft.com/office/infopath/2007/PartnerControls"/>
    </lcf76f155ced4ddcb4097134ff3c332f>
    <CorpWorkflowFeedback xmlns="8bbd4995-53b7-43e2-b62f-10947586ac31" xsi:nil="true"/>
    <CorpSiteAccess xmlns="8bbd4995-53b7-43e2-b62f-10947586ac31">Kun navngitte medlemmer</CorpSiteAccess>
    <TaxCatchAll xmlns="278037f1-bd83-429f-8be8-2f3af6cf312a" xsi:nil="true"/>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3.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E8D55BF4A6ECA246BABB714E10D0012D" ma:contentTypeVersion="52" ma:contentTypeDescription="Opprett et nytt dokument." ma:contentTypeScope="" ma:versionID="d66622591a51e31da0c5de357bc394bc">
  <xsd:schema xmlns:xsd="http://www.w3.org/2001/XMLSchema" xmlns:xs="http://www.w3.org/2001/XMLSchema" xmlns:p="http://schemas.microsoft.com/office/2006/metadata/properties" xmlns:ns2="8bbd4995-53b7-43e2-b62f-10947586ac31" xmlns:ns3="d0236583-931d-4431-a90e-39669999edc8" xmlns:ns4="278037f1-bd83-429f-8be8-2f3af6cf312a" targetNamespace="http://schemas.microsoft.com/office/2006/metadata/properties" ma:root="true" ma:fieldsID="939a0c0811f9eb672246e62d02cd1ec4" ns2:_="" ns3:_="" ns4:_="">
    <xsd:import namespace="8bbd4995-53b7-43e2-b62f-10947586ac31"/>
    <xsd:import namespace="d0236583-931d-4431-a90e-39669999edc8"/>
    <xsd:import namespace="278037f1-bd83-429f-8be8-2f3af6cf312a"/>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kivstatus" ma:internalName="ArchiveStatus">
      <xsd:simpleType>
        <xsd:restriction base="dms:Text">
          <xsd:maxLength value="255"/>
        </xsd:restriction>
      </xsd:simpleType>
    </xsd:element>
    <xsd:element name="CorpWorkflowApproval" ma:index="9" nillable="true" ma:displayName="Status godkjenning" ma:internalName="CorpWorkflowApproval">
      <xsd:simpleType>
        <xsd:restriction base="dms:Text">
          <xsd:maxLength value="255"/>
        </xsd:restriction>
      </xsd:simpleType>
    </xsd:element>
    <xsd:element name="CorpWorkflowFeedback" ma:index="10" nillable="true" ma:displayName="Status kvalitetssikring" ma:internalName="CorpWorkflowFeedback">
      <xsd:simpleType>
        <xsd:restriction base="dms:Text">
          <xsd:maxLength value="255"/>
        </xsd:restriction>
      </xsd:simpleType>
    </xsd:element>
    <xsd:element name="CorpSiteProjectNumber" ma:index="12" nillable="true" ma:displayName="Prosjektnummer" ma:default="" ma:internalName="CorpSiteProjectNumber">
      <xsd:simpleType>
        <xsd:restriction base="dms:Text">
          <xsd:maxLength value="255"/>
        </xsd:restriction>
      </xsd:simpleType>
    </xsd:element>
    <xsd:element name="CorpSiteProjectName" ma:index="13" nillable="true" ma:displayName="Prosjektnavn" ma:internalName="CorpSiteProjectName">
      <xsd:simpleType>
        <xsd:restriction base="dms:Text">
          <xsd:maxLength value="255"/>
        </xsd:restriction>
      </xsd:simpleType>
    </xsd:element>
    <xsd:element name="CorpSiteSubTitle" ma:index="14" nillable="true" ma:displayName="Undertittel" ma:internalName="CorpSiteSubTitle">
      <xsd:simpleType>
        <xsd:restriction base="dms:Text">
          <xsd:maxLength value="255"/>
        </xsd:restriction>
      </xsd:simpleType>
    </xsd:element>
    <xsd:element name="CorpSiteAccess" ma:index="15" nillable="true" ma:displayName="Lesetilgang"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6" nillable="true" ma:displayName="Gradering"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7" nillable="true" ma:displayName="Tags" ma:internalName="CorpSiteTags">
      <xsd:simpleType>
        <xsd:restriction base="dms:Text">
          <xsd:maxLength value="255"/>
        </xsd:restriction>
      </xsd:simpleType>
    </xsd:element>
    <xsd:element name="CorpSiteProjectQA" ma:index="18" nillable="true" ma:displayName="Kvalitestsansvarlig"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9" nillable="true" ma:displayName="Prosjektei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20" nillable="true" ma:displayName="Prosjektle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1" nillable="true" ma:displayName="Rapport nummer" ma:internalName="CorpSiteReportNumber">
      <xsd:simpleType>
        <xsd:restriction base="dms:Text">
          <xsd:maxLength value="255"/>
        </xsd:restriction>
      </xsd:simpleType>
    </xsd:element>
    <xsd:element name="CorpSiteISBN" ma:index="22" nillable="true" ma:displayName="ISBN" ma:internalName="CorpSiteISBN">
      <xsd:simpleType>
        <xsd:restriction base="dms:Text">
          <xsd:maxLength value="255"/>
        </xsd:restriction>
      </xsd:simpleType>
    </xsd:element>
    <xsd:element name="CorpSiteCoAuthors" ma:index="23" nillable="true" ma:displayName="Medforfattere" ma:internalName="CorpSiteCoAuthors">
      <xsd:simpleType>
        <xsd:restriction base="dms:Text">
          <xsd:maxLength value="255"/>
        </xsd:restriction>
      </xsd:simpleType>
    </xsd:element>
    <xsd:element name="CorpSiteRecipientCompany" ma:index="24" nillable="true" ma:displayName="Mottakende selskap" ma:internalName="CorpSiteRecipientCompany">
      <xsd:simpleType>
        <xsd:restriction base="dms:Text">
          <xsd:maxLength value="255"/>
        </xsd:restriction>
      </xsd:simpleType>
    </xsd:element>
    <xsd:element name="CorpSiteRecipientPerson" ma:index="25" nillable="true" ma:displayName="Mottakende person" ma:internalName="CorpSiteRecipientPerson">
      <xsd:simpleType>
        <xsd:restriction base="dms:Text">
          <xsd:maxLength value="255"/>
        </xsd:restriction>
      </xsd:simpleType>
    </xsd:element>
    <xsd:element name="CorpSiteOurRef" ma:index="26" nillable="true" ma:displayName="Vår ref" ma:internalName="CorpSiteOurRef">
      <xsd:simpleType>
        <xsd:restriction base="dms:Text">
          <xsd:maxLength value="255"/>
        </xsd:restriction>
      </xsd:simpleType>
    </xsd:element>
    <xsd:element name="CorpSiteDocumentAuthor" ma:index="27" nillable="true" ma:displayName="Hovedforfatte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8" nillable="true" ma:displayName="Adresse" ma:internalName="CorpSiteZipAddress">
      <xsd:simpleType>
        <xsd:restriction base="dms:Note">
          <xsd:maxLength value="255"/>
        </xsd:restriction>
      </xsd:simpleType>
    </xsd:element>
    <xsd:element name="CorpSiteZipContact" ma:index="29" nillable="true" ma:displayName="Kontakt" ma:internalName="CorpSiteZipContact">
      <xsd:simpleType>
        <xsd:restriction base="dms:Note">
          <xsd:maxLength value="255"/>
        </xsd:restriction>
      </xsd:simpleType>
    </xsd:element>
    <xsd:element name="CorpSiteVATNumber" ma:index="30" nillable="true" ma:displayName="Foretaksnummer" ma:internalName="CorpSiteVATNumber">
      <xsd:simpleType>
        <xsd:restriction base="dms:Text">
          <xsd:maxLength value="255"/>
        </xsd:restriction>
      </xsd:simpleType>
    </xsd:element>
    <xsd:element name="CorpSiteInstituteEmail" ma:index="31" nillable="true" ma:displayName="E-post institutt" ma:internalName="CorpSiteInstituteEmail">
      <xsd:simpleType>
        <xsd:restriction base="dms:Text">
          <xsd:maxLength value="255"/>
        </xsd:restriction>
      </xsd:simpleType>
    </xsd:element>
    <xsd:element name="CorpDocPageClassificationNbNo" ma:index="32"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3"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4"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5"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6" nillable="true" ma:displayName="InstituteEng" ma:internalName="CorpSiteInstituteEnUs">
      <xsd:simpleType>
        <xsd:restriction base="dms:Text">
          <xsd:maxLength value="255"/>
        </xsd:restriction>
      </xsd:simpleType>
    </xsd:element>
    <xsd:element name="CorpSiteInstitutePhone" ma:index="37" nillable="true" ma:displayName="Institutt telefon" ma:internalName="CorpSiteInstitutePhone">
      <xsd:simpleType>
        <xsd:restriction base="dms:Text">
          <xsd:maxLength value="255"/>
        </xsd:restriction>
      </xsd:simpleType>
    </xsd:element>
    <xsd:element name="CorpSiteDocLanguage" ma:index="38" nillable="true" ma:displayName="Språk" ma:internalName="CorpSiteDocLanguage">
      <xsd:simpleType>
        <xsd:restriction base="dms:Text">
          <xsd:maxLength value="255"/>
        </xsd:restriction>
      </xsd:simpleType>
    </xsd:element>
    <xsd:element name="CorpDocInstitute" ma:index="39" nillable="true" ma:displayName="Institutt" ma:internalName="CorpDocInstitute">
      <xsd:simpleType>
        <xsd:restriction base="dms:Text">
          <xsd:maxLength value="255"/>
        </xsd:restriction>
      </xsd:simpleType>
    </xsd:element>
    <xsd:element name="CorpDocVersion" ma:index="40" nillable="true" ma:displayName="Versjon" ma:internalName="CorpDocVer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236583-931d-4431-a90e-39669999edc8" elementFormDefault="qualified">
    <xsd:import namespace="http://schemas.microsoft.com/office/2006/documentManagement/types"/>
    <xsd:import namespace="http://schemas.microsoft.com/office/infopath/2007/PartnerControls"/>
    <xsd:element name="MediaServiceMetadata" ma:index="41" nillable="true" ma:displayName="MediaServiceMetadata" ma:hidden="true" ma:internalName="MediaServiceMetadata" ma:readOnly="true">
      <xsd:simpleType>
        <xsd:restriction base="dms:Note"/>
      </xsd:simpleType>
    </xsd:element>
    <xsd:element name="MediaServiceFastMetadata" ma:index="42" nillable="true" ma:displayName="MediaServiceFastMetadata" ma:hidden="true" ma:internalName="MediaServiceFastMetadata" ma:readOnly="true">
      <xsd:simpleType>
        <xsd:restriction base="dms:Note"/>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element name="lcf76f155ced4ddcb4097134ff3c332f" ma:index="48" nillable="true" ma:taxonomy="true" ma:internalName="lcf76f155ced4ddcb4097134ff3c332f" ma:taxonomyFieldName="MediaServiceImageTags" ma:displayName="Bildemerkelapper" ma:readOnly="false" ma:fieldId="{5cf76f15-5ced-4ddc-b409-7134ff3c332f}" ma:taxonomyMulti="true" ma:sspId="322a372c-f9c2-4fd8-9939-aea158435baa" ma:termSetId="09814cd3-568e-fe90-9814-8d621ff8fb84" ma:anchorId="fba54fb3-c3e1-fe81-a776-ca4b69148c4d" ma:open="true" ma:isKeyword="false">
      <xsd:complexType>
        <xsd:sequence>
          <xsd:element ref="pc:Terms" minOccurs="0" maxOccurs="1"/>
        </xsd:sequence>
      </xsd:complexType>
    </xsd:element>
    <xsd:element name="MediaServiceOCR" ma:index="50" nillable="true" ma:displayName="Extracted Text" ma:internalName="MediaServiceOCR" ma:readOnly="true">
      <xsd:simpleType>
        <xsd:restriction base="dms:Note">
          <xsd:maxLength value="255"/>
        </xsd:restriction>
      </xsd:simpleType>
    </xsd:element>
    <xsd:element name="MediaServiceGenerationTime" ma:index="51" nillable="true" ma:displayName="MediaServiceGenerationTime" ma:hidden="true" ma:internalName="MediaServiceGenerationTime" ma:readOnly="true">
      <xsd:simpleType>
        <xsd:restriction base="dms:Text"/>
      </xsd:simpleType>
    </xsd:element>
    <xsd:element name="MediaServiceEventHashCode" ma:index="52" nillable="true" ma:displayName="MediaServiceEventHashCode" ma:hidden="true" ma:internalName="MediaServiceEventHashCode" ma:readOnly="true">
      <xsd:simpleType>
        <xsd:restriction base="dms:Text"/>
      </xsd:simpleType>
    </xsd:element>
    <xsd:element name="MediaServiceDateTaken" ma:index="53" nillable="true" ma:displayName="MediaServiceDateTaken" ma:hidden="true" ma:indexed="true" ma:internalName="MediaServiceDateTaken" ma:readOnly="true">
      <xsd:simpleType>
        <xsd:restriction base="dms:Text"/>
      </xsd:simpleType>
    </xsd:element>
    <xsd:element name="MediaLengthInSeconds" ma:index="54" nillable="true" ma:displayName="MediaLengthInSeconds" ma:hidden="true" ma:internalName="MediaLengthInSeconds" ma:readOnly="true">
      <xsd:simpleType>
        <xsd:restriction base="dms:Unknown"/>
      </xsd:simpleType>
    </xsd:element>
    <xsd:element name="MediaServiceObjectDetectorVersions" ma:index="55" nillable="true" ma:displayName="MediaServiceObjectDetectorVersions" ma:hidden="true" ma:indexed="true" ma:internalName="MediaServiceObjectDetectorVersions"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8037f1-bd83-429f-8be8-2f3af6cf312a" elementFormDefault="qualified">
    <xsd:import namespace="http://schemas.microsoft.com/office/2006/documentManagement/types"/>
    <xsd:import namespace="http://schemas.microsoft.com/office/infopath/2007/PartnerControls"/>
    <xsd:element name="SharedWithUsers" ma:index="4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6" nillable="true" ma:displayName="Delingsdetaljer" ma:internalName="SharedWithDetails" ma:readOnly="true">
      <xsd:simpleType>
        <xsd:restriction base="dms:Note">
          <xsd:maxLength value="255"/>
        </xsd:restriction>
      </xsd:simpleType>
    </xsd:element>
    <xsd:element name="TaxCatchAll" ma:index="49" nillable="true" ma:displayName="Taxonomy Catch All Column" ma:hidden="true" ma:list="{2266a6bc-5779-41c5-8d2c-7113d03d4c1f}" ma:internalName="TaxCatchAll" ma:showField="CatchAllData" ma:web="278037f1-bd83-429f-8be8-2f3af6cf31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A076FC-CFB6-4C58-8200-EC7642202578}">
  <ds:schemaRefs>
    <ds:schemaRef ds:uri="http://schemas.microsoft.com/sharepoint/v3/contenttype/forms"/>
  </ds:schemaRefs>
</ds:datastoreItem>
</file>

<file path=customXml/itemProps2.xml><?xml version="1.0" encoding="utf-8"?>
<ds:datastoreItem xmlns:ds="http://schemas.openxmlformats.org/officeDocument/2006/customXml" ds:itemID="{D164A84B-F5E8-4AF8-A0D4-31B336B1431F}">
  <ds:schemaRef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d669262f-caf4-415f-a122-c9ed7b065a17"/>
    <ds:schemaRef ds:uri="http://www.w3.org/XML/1998/namespace"/>
    <ds:schemaRef ds:uri="42fcde6f-2fa1-4bae-92cc-af9add03e69a"/>
    <ds:schemaRef ds:uri="http://purl.org/dc/dcmitype/"/>
    <ds:schemaRef ds:uri="http://purl.org/dc/terms/"/>
  </ds:schemaRefs>
</ds:datastoreItem>
</file>

<file path=customXml/itemProps3.xml><?xml version="1.0" encoding="utf-8"?>
<ds:datastoreItem xmlns:ds="http://schemas.openxmlformats.org/officeDocument/2006/customXml" ds:itemID="{DAE526B4-61EB-4F52-9069-38E6CC11A69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Coversheet</vt:lpstr>
      <vt:lpstr>Figure 1-2</vt:lpstr>
      <vt:lpstr>Figure 3</vt:lpstr>
      <vt:lpstr>Figure 4-5</vt:lpstr>
      <vt:lpstr>1 DH Consumption</vt:lpstr>
      <vt:lpstr>2 DH Share</vt:lpstr>
      <vt:lpstr>3 DC Consumption</vt:lpstr>
      <vt:lpstr>4 Technology mix</vt:lpstr>
      <vt:lpstr>5 Heat supply and fuel mix</vt:lpstr>
      <vt:lpstr>6 Trench length and size</vt:lpstr>
      <vt:lpstr>7 CHP Data </vt:lpstr>
      <vt:lpstr>8 Energy balances-Eurostat</vt:lpstr>
      <vt:lpstr>9 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Eftim Popovski</dc:creator>
  <cp:keywords/>
  <dc:description/>
  <cp:lastModifiedBy>Martha Johanne Pedersen</cp:lastModifiedBy>
  <cp:revision/>
  <dcterms:created xsi:type="dcterms:W3CDTF">2020-09-09T10:55:12Z</dcterms:created>
  <dcterms:modified xsi:type="dcterms:W3CDTF">2024-03-13T15:53:18Z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0x010100E6053A963866E14BA2DBE76BE0548A45</vt:lpwstr>
  </property>
</Properties>
</file>