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inceton_research\oxidation_lite-master-20230807T020521Z-001\oxidation_lite-master\"/>
    </mc:Choice>
  </mc:AlternateContent>
  <xr:revisionPtr revIDLastSave="0" documentId="13_ncr:1_{CBEC400C-B3EB-4AD2-A86D-FC670C8B136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_cp_with_5000K_new_data" sheetId="1" r:id="rId1"/>
    <sheet name="finalized_data" sheetId="2" r:id="rId2"/>
    <sheet name="cv_el_for_fitting1" sheetId="3" r:id="rId3"/>
    <sheet name="cv_el_for_fittting" sheetId="4" r:id="rId4"/>
    <sheet name="Cv_el_reproduction" sheetId="5" r:id="rId5"/>
    <sheet name="Sheet4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8" i="1" l="1"/>
  <c r="N13" i="1"/>
  <c r="N8" i="1"/>
  <c r="N3" i="1"/>
  <c r="U3" i="1" s="1"/>
  <c r="W130" i="6"/>
  <c r="U129" i="6"/>
  <c r="U128" i="6"/>
  <c r="W94" i="6"/>
  <c r="V93" i="6"/>
  <c r="U92" i="6"/>
  <c r="X58" i="6"/>
  <c r="V57" i="6"/>
  <c r="U56" i="6"/>
  <c r="X22" i="6"/>
  <c r="U21" i="6"/>
  <c r="U20" i="6"/>
  <c r="G50" i="5"/>
  <c r="D50" i="5"/>
  <c r="G49" i="5"/>
  <c r="D49" i="5"/>
  <c r="G48" i="5"/>
  <c r="D48" i="5"/>
  <c r="G47" i="5"/>
  <c r="D47" i="5"/>
  <c r="G46" i="5"/>
  <c r="D46" i="5"/>
  <c r="G45" i="5"/>
  <c r="D45" i="5"/>
  <c r="G44" i="5"/>
  <c r="D44" i="5"/>
  <c r="G43" i="5"/>
  <c r="D43" i="5"/>
  <c r="G42" i="5"/>
  <c r="D42" i="5"/>
  <c r="G41" i="5"/>
  <c r="D41" i="5"/>
  <c r="G40" i="5"/>
  <c r="D40" i="5"/>
  <c r="G39" i="5"/>
  <c r="D39" i="5"/>
  <c r="G37" i="5"/>
  <c r="D37" i="5"/>
  <c r="G34" i="5"/>
  <c r="D34" i="5"/>
  <c r="G33" i="5"/>
  <c r="D33" i="5"/>
  <c r="G32" i="5"/>
  <c r="D32" i="5"/>
  <c r="G31" i="5"/>
  <c r="D31" i="5"/>
  <c r="G30" i="5"/>
  <c r="D30" i="5"/>
  <c r="G29" i="5"/>
  <c r="D29" i="5"/>
  <c r="G28" i="5"/>
  <c r="D28" i="5"/>
  <c r="G27" i="5"/>
  <c r="D27" i="5"/>
  <c r="G25" i="5"/>
  <c r="D25" i="5"/>
  <c r="G24" i="5"/>
  <c r="D24" i="5"/>
  <c r="G23" i="5"/>
  <c r="D23" i="5"/>
  <c r="G22" i="5"/>
  <c r="D22" i="5"/>
  <c r="G21" i="5"/>
  <c r="D21" i="5"/>
  <c r="G20" i="5"/>
  <c r="D20" i="5"/>
  <c r="G19" i="5"/>
  <c r="D19" i="5"/>
  <c r="G18" i="5"/>
  <c r="D18" i="5"/>
  <c r="G17" i="5"/>
  <c r="D17" i="5"/>
  <c r="G16" i="5"/>
  <c r="D16" i="5"/>
  <c r="G15" i="5"/>
  <c r="D15" i="5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D16" i="4"/>
  <c r="D15" i="4"/>
  <c r="D14" i="4"/>
  <c r="D12" i="4"/>
  <c r="D11" i="4"/>
  <c r="D10" i="4"/>
  <c r="D8" i="4"/>
  <c r="D7" i="4"/>
  <c r="D6" i="4"/>
  <c r="D4" i="4"/>
  <c r="D3" i="4"/>
  <c r="D2" i="4"/>
  <c r="F32" i="3"/>
  <c r="F31" i="3"/>
  <c r="F30" i="3"/>
  <c r="F28" i="3"/>
  <c r="F27" i="3"/>
  <c r="F26" i="3"/>
  <c r="F24" i="3"/>
  <c r="F23" i="3"/>
  <c r="F22" i="3"/>
  <c r="E20" i="3"/>
  <c r="F19" i="3"/>
  <c r="E19" i="3"/>
  <c r="F18" i="3"/>
  <c r="E18" i="3"/>
  <c r="F17" i="3"/>
  <c r="E17" i="3"/>
  <c r="E15" i="3"/>
  <c r="F14" i="3"/>
  <c r="E14" i="3"/>
  <c r="F13" i="3"/>
  <c r="E13" i="3"/>
  <c r="F12" i="3"/>
  <c r="E12" i="3"/>
  <c r="E10" i="3"/>
  <c r="F9" i="3"/>
  <c r="E9" i="3"/>
  <c r="F8" i="3"/>
  <c r="E8" i="3"/>
  <c r="F7" i="3"/>
  <c r="E7" i="3"/>
  <c r="E5" i="3"/>
  <c r="F4" i="3"/>
  <c r="E4" i="3"/>
  <c r="F3" i="3"/>
  <c r="E3" i="3"/>
  <c r="F2" i="3"/>
  <c r="E2" i="3"/>
  <c r="Z16" i="2"/>
  <c r="X16" i="2"/>
  <c r="R16" i="2"/>
  <c r="M16" i="2"/>
  <c r="L16" i="2"/>
  <c r="N16" i="2" s="1"/>
  <c r="Z15" i="2"/>
  <c r="X15" i="2"/>
  <c r="R15" i="2"/>
  <c r="N15" i="2"/>
  <c r="AA15" i="2" s="1"/>
  <c r="M15" i="2"/>
  <c r="L15" i="2"/>
  <c r="Z14" i="2"/>
  <c r="AA14" i="2" s="1"/>
  <c r="X14" i="2"/>
  <c r="R14" i="2"/>
  <c r="N14" i="2"/>
  <c r="M14" i="2"/>
  <c r="L14" i="2"/>
  <c r="Z12" i="2"/>
  <c r="X12" i="2"/>
  <c r="R12" i="2"/>
  <c r="M12" i="2"/>
  <c r="L12" i="2"/>
  <c r="N12" i="2" s="1"/>
  <c r="F12" i="2"/>
  <c r="E12" i="2"/>
  <c r="Z11" i="2"/>
  <c r="C11" i="2" s="1"/>
  <c r="X11" i="2"/>
  <c r="R11" i="2"/>
  <c r="E11" i="2" s="1"/>
  <c r="M11" i="2"/>
  <c r="L11" i="2"/>
  <c r="N11" i="2" s="1"/>
  <c r="AA11" i="2" s="1"/>
  <c r="F11" i="2"/>
  <c r="Z10" i="2"/>
  <c r="AA10" i="2" s="1"/>
  <c r="X10" i="2"/>
  <c r="R10" i="2"/>
  <c r="N10" i="2"/>
  <c r="M10" i="2"/>
  <c r="L10" i="2"/>
  <c r="F10" i="2"/>
  <c r="E10" i="2"/>
  <c r="X8" i="2"/>
  <c r="R8" i="2"/>
  <c r="E4" i="2" s="1"/>
  <c r="M8" i="2"/>
  <c r="L8" i="2"/>
  <c r="N8" i="2" s="1"/>
  <c r="Z7" i="2"/>
  <c r="AA7" i="2" s="1"/>
  <c r="X7" i="2"/>
  <c r="R7" i="2"/>
  <c r="M7" i="2"/>
  <c r="L7" i="2"/>
  <c r="N7" i="2" s="1"/>
  <c r="X6" i="2"/>
  <c r="R6" i="2"/>
  <c r="Z6" i="2" s="1"/>
  <c r="N6" i="2"/>
  <c r="M6" i="2"/>
  <c r="L6" i="2"/>
  <c r="Z4" i="2"/>
  <c r="AA4" i="2" s="1"/>
  <c r="X4" i="2"/>
  <c r="R4" i="2"/>
  <c r="N4" i="2"/>
  <c r="M4" i="2"/>
  <c r="L4" i="2"/>
  <c r="F4" i="2"/>
  <c r="Z3" i="2"/>
  <c r="AA3" i="2" s="1"/>
  <c r="X3" i="2"/>
  <c r="R3" i="2"/>
  <c r="E3" i="2" s="1"/>
  <c r="N3" i="2"/>
  <c r="M3" i="2"/>
  <c r="L3" i="2"/>
  <c r="F3" i="2"/>
  <c r="Z2" i="2"/>
  <c r="X2" i="2"/>
  <c r="R2" i="2"/>
  <c r="M2" i="2"/>
  <c r="L2" i="2"/>
  <c r="N2" i="2" s="1"/>
  <c r="AA2" i="2" s="1"/>
  <c r="F2" i="2"/>
  <c r="E2" i="2"/>
  <c r="Q20" i="1"/>
  <c r="D15" i="1" s="1"/>
  <c r="L20" i="1"/>
  <c r="K20" i="1"/>
  <c r="M20" i="1" s="1"/>
  <c r="T19" i="1"/>
  <c r="U19" i="1" s="1"/>
  <c r="Q19" i="1"/>
  <c r="M19" i="1"/>
  <c r="L19" i="1"/>
  <c r="K19" i="1"/>
  <c r="Q18" i="1"/>
  <c r="M18" i="1"/>
  <c r="L18" i="1"/>
  <c r="K18" i="1"/>
  <c r="Q17" i="1"/>
  <c r="D12" i="1" s="1"/>
  <c r="L17" i="1"/>
  <c r="K17" i="1"/>
  <c r="M17" i="1" s="1"/>
  <c r="Q15" i="1"/>
  <c r="T15" i="1" s="1"/>
  <c r="U15" i="1" s="1"/>
  <c r="L15" i="1"/>
  <c r="K15" i="1"/>
  <c r="M15" i="1" s="1"/>
  <c r="E15" i="1"/>
  <c r="Q14" i="1"/>
  <c r="D14" i="1" s="1"/>
  <c r="M14" i="1"/>
  <c r="L14" i="1"/>
  <c r="K14" i="1"/>
  <c r="E14" i="1"/>
  <c r="Q13" i="1"/>
  <c r="T13" i="1" s="1"/>
  <c r="M13" i="1"/>
  <c r="L13" i="1"/>
  <c r="K13" i="1"/>
  <c r="E13" i="1"/>
  <c r="T12" i="1"/>
  <c r="U12" i="1" s="1"/>
  <c r="Q12" i="1"/>
  <c r="M12" i="1"/>
  <c r="L12" i="1"/>
  <c r="K12" i="1"/>
  <c r="E12" i="1"/>
  <c r="Q10" i="1"/>
  <c r="T10" i="1" s="1"/>
  <c r="L10" i="1"/>
  <c r="K10" i="1"/>
  <c r="M10" i="1" s="1"/>
  <c r="T9" i="1"/>
  <c r="U9" i="1" s="1"/>
  <c r="Q9" i="1"/>
  <c r="M9" i="1"/>
  <c r="L9" i="1"/>
  <c r="K9" i="1"/>
  <c r="T8" i="1"/>
  <c r="Q8" i="1"/>
  <c r="M8" i="1"/>
  <c r="L8" i="1"/>
  <c r="K8" i="1"/>
  <c r="Q7" i="1"/>
  <c r="D2" i="1" s="1"/>
  <c r="M7" i="1"/>
  <c r="L7" i="1"/>
  <c r="K7" i="1"/>
  <c r="Q5" i="1"/>
  <c r="T5" i="1" s="1"/>
  <c r="U5" i="1" s="1"/>
  <c r="L5" i="1"/>
  <c r="K5" i="1"/>
  <c r="M5" i="1" s="1"/>
  <c r="E5" i="1"/>
  <c r="Q4" i="1"/>
  <c r="T4" i="1" s="1"/>
  <c r="U4" i="1" s="1"/>
  <c r="M4" i="1"/>
  <c r="L4" i="1"/>
  <c r="K4" i="1"/>
  <c r="E4" i="1"/>
  <c r="T3" i="1"/>
  <c r="Q3" i="1"/>
  <c r="M3" i="1"/>
  <c r="L3" i="1"/>
  <c r="K3" i="1"/>
  <c r="E3" i="1"/>
  <c r="D3" i="1"/>
  <c r="T2" i="1"/>
  <c r="U2" i="1" s="1"/>
  <c r="Q2" i="1"/>
  <c r="M2" i="1"/>
  <c r="L2" i="1"/>
  <c r="K2" i="1"/>
  <c r="E2" i="1"/>
  <c r="D5" i="1" l="1"/>
  <c r="D13" i="1"/>
  <c r="T18" i="1"/>
  <c r="U18" i="1" s="1"/>
  <c r="U13" i="1"/>
  <c r="U8" i="1"/>
  <c r="F3" i="1" s="1"/>
  <c r="D11" i="2"/>
  <c r="G11" i="2"/>
  <c r="C4" i="1"/>
  <c r="F4" i="1"/>
  <c r="AA12" i="2"/>
  <c r="AA16" i="2"/>
  <c r="C2" i="2"/>
  <c r="AA6" i="2"/>
  <c r="U10" i="1"/>
  <c r="G3" i="2"/>
  <c r="D3" i="2"/>
  <c r="C14" i="1"/>
  <c r="G10" i="2"/>
  <c r="D10" i="2"/>
  <c r="Z8" i="2"/>
  <c r="D4" i="1"/>
  <c r="C10" i="2"/>
  <c r="T7" i="1"/>
  <c r="U7" i="1" s="1"/>
  <c r="T14" i="1"/>
  <c r="U14" i="1" s="1"/>
  <c r="F14" i="1" s="1"/>
  <c r="T17" i="1"/>
  <c r="U17" i="1" s="1"/>
  <c r="C3" i="2"/>
  <c r="T20" i="1"/>
  <c r="U20" i="1" s="1"/>
  <c r="C12" i="2"/>
  <c r="C13" i="1" l="1"/>
  <c r="F13" i="1"/>
  <c r="C3" i="1"/>
  <c r="F5" i="1"/>
  <c r="C5" i="1"/>
  <c r="G2" i="2"/>
  <c r="D2" i="2"/>
  <c r="G12" i="2"/>
  <c r="D12" i="2"/>
  <c r="F12" i="1"/>
  <c r="C12" i="1"/>
  <c r="F2" i="1"/>
  <c r="C2" i="1"/>
  <c r="F15" i="1"/>
  <c r="C15" i="1"/>
  <c r="AA8" i="2"/>
  <c r="C4" i="2"/>
  <c r="G4" i="2" l="1"/>
  <c r="D4" i="2"/>
</calcChain>
</file>

<file path=xl/sharedStrings.xml><?xml version="1.0" encoding="utf-8"?>
<sst xmlns="http://schemas.openxmlformats.org/spreadsheetml/2006/main" count="673" uniqueCount="136">
  <si>
    <t>Components</t>
  </si>
  <si>
    <t>Fe</t>
  </si>
  <si>
    <t>delta_Cp</t>
  </si>
  <si>
    <t>del_ion</t>
  </si>
  <si>
    <t>del_ele</t>
  </si>
  <si>
    <t>del_agt</t>
  </si>
  <si>
    <t>Temperature</t>
  </si>
  <si>
    <t>Pressure</t>
  </si>
  <si>
    <t>V0</t>
  </si>
  <si>
    <t>V0_fig</t>
  </si>
  <si>
    <t>V0_fig_m</t>
  </si>
  <si>
    <t>scaling_factor</t>
  </si>
  <si>
    <t>V0_fig_m_revise</t>
  </si>
  <si>
    <t>Alpha_K</t>
  </si>
  <si>
    <t>Gamma_revised</t>
  </si>
  <si>
    <t>Cv(Nkb)</t>
  </si>
  <si>
    <t>Cv_J_mol</t>
  </si>
  <si>
    <t>Mean_Sel(eV/K)</t>
  </si>
  <si>
    <t>Cv_el_J_mol</t>
  </si>
  <si>
    <t>Cv_total_J_mol</t>
  </si>
  <si>
    <t>Cp_J_mol</t>
  </si>
  <si>
    <t>Cv_report_V</t>
  </si>
  <si>
    <t>-b</t>
  </si>
  <si>
    <t>check</t>
  </si>
  <si>
    <t>Fe_12p5_re</t>
  </si>
  <si>
    <t>Fe_12p5</t>
  </si>
  <si>
    <t>y</t>
  </si>
  <si>
    <t>ad-1350</t>
  </si>
  <si>
    <t>Fe_12p5_ox</t>
  </si>
  <si>
    <t>Add-0</t>
  </si>
  <si>
    <t>ad-800</t>
  </si>
  <si>
    <t>Fe_25_re_new</t>
  </si>
  <si>
    <t>Fe_25</t>
  </si>
  <si>
    <t>Fe_25_ox</t>
  </si>
  <si>
    <t>ad-540</t>
  </si>
  <si>
    <t>Rerun-200</t>
  </si>
  <si>
    <t>delta_Cv</t>
  </si>
  <si>
    <t>Eentro</t>
  </si>
  <si>
    <t>Eentro_pulay</t>
  </si>
  <si>
    <t>pulay</t>
  </si>
  <si>
    <t>original</t>
  </si>
  <si>
    <t>en_diff</t>
  </si>
  <si>
    <t>Fe_25_re_0611</t>
  </si>
  <si>
    <t>Fe_25_ox_0611</t>
  </si>
  <si>
    <t>Mean_Temperature</t>
  </si>
  <si>
    <t>Mean_Sel</t>
  </si>
  <si>
    <t>Mean_Sel_nkb</t>
  </si>
  <si>
    <t>Mean_Sel_1(J/K)</t>
  </si>
  <si>
    <t>new_Cv_el</t>
  </si>
  <si>
    <t>a</t>
  </si>
  <si>
    <t>b</t>
  </si>
  <si>
    <t>t0</t>
  </si>
  <si>
    <t>a_err</t>
  </si>
  <si>
    <t>b_err</t>
  </si>
  <si>
    <t>t0_err</t>
  </si>
  <si>
    <t>Fe_25_re</t>
  </si>
  <si>
    <t>1998.38457273482940.00036487443280964257</t>
  </si>
  <si>
    <r>
      <rPr>
        <sz val="12"/>
        <color rgb="FF000000"/>
        <rFont val="Calibri"/>
        <family val="2"/>
        <charset val="1"/>
      </rPr>
      <t>0.001</t>
    </r>
    <r>
      <rPr>
        <sz val="12"/>
        <color rgb="FFC9211E"/>
        <rFont val="Calibri"/>
        <family val="2"/>
        <charset val="1"/>
      </rPr>
      <t>4</t>
    </r>
    <r>
      <rPr>
        <sz val="12"/>
        <color rgb="FF000000"/>
        <rFont val="Calibri"/>
        <family val="2"/>
        <charset val="1"/>
      </rPr>
      <t>5514765775157</t>
    </r>
  </si>
  <si>
    <t>Fe_12p5_re_new</t>
  </si>
  <si>
    <t>Fe_12p5_ox_new</t>
  </si>
  <si>
    <r>
      <rPr>
        <sz val="12"/>
        <color rgb="FF000000"/>
        <rFont val="Calibri"/>
        <family val="2"/>
        <charset val="1"/>
      </rPr>
      <t>0.001</t>
    </r>
    <r>
      <rPr>
        <sz val="12"/>
        <color rgb="FFC9211E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9934074582729</t>
    </r>
  </si>
  <si>
    <t>Mean_Sel_1</t>
  </si>
  <si>
    <t>Mean_Sel_eV</t>
  </si>
  <si>
    <t>Mean_Sel_Nkb</t>
  </si>
  <si>
    <t>Vx/V</t>
  </si>
  <si>
    <t>[[Fit</t>
  </si>
  <si>
    <t>Statistics]]</t>
  </si>
  <si>
    <t>#</t>
  </si>
  <si>
    <t>fitting</t>
  </si>
  <si>
    <t>method</t>
  </si>
  <si>
    <t>=</t>
  </si>
  <si>
    <t>leastsq</t>
  </si>
  <si>
    <t>function</t>
  </si>
  <si>
    <t>evals</t>
  </si>
  <si>
    <t>data</t>
  </si>
  <si>
    <t>points</t>
  </si>
  <si>
    <t>variables</t>
  </si>
  <si>
    <t>chi-square</t>
  </si>
  <si>
    <t>reduced</t>
  </si>
  <si>
    <t>Akaike</t>
  </si>
  <si>
    <t>info</t>
  </si>
  <si>
    <t>crit</t>
  </si>
  <si>
    <t>Bayesian</t>
  </si>
  <si>
    <t>R-squared</t>
  </si>
  <si>
    <t>[[Variables]]</t>
  </si>
  <si>
    <t>+/-</t>
  </si>
  <si>
    <t>(63380.61%)</t>
  </si>
  <si>
    <t>(init</t>
  </si>
  <si>
    <t>20)</t>
  </si>
  <si>
    <t>(146972.22%)</t>
  </si>
  <si>
    <t>30)</t>
  </si>
  <si>
    <t>(832398.21%)</t>
  </si>
  <si>
    <t>6)</t>
  </si>
  <si>
    <t>[[Correlations]]</t>
  </si>
  <si>
    <t>(unreported</t>
  </si>
  <si>
    <t>correlations</t>
  </si>
  <si>
    <t>are</t>
  </si>
  <si>
    <t>&lt;</t>
  </si>
  <si>
    <t>0.100)</t>
  </si>
  <si>
    <t>C(b</t>
  </si>
  <si>
    <t>t0)</t>
  </si>
  <si>
    <t>C(a</t>
  </si>
  <si>
    <t>b)</t>
  </si>
  <si>
    <t>Name</t>
  </si>
  <si>
    <t>Value</t>
  </si>
  <si>
    <t>Min</t>
  </si>
  <si>
    <t>Max</t>
  </si>
  <si>
    <t>Stderr</t>
  </si>
  <si>
    <t>Vary</t>
  </si>
  <si>
    <t>Expr</t>
  </si>
  <si>
    <t>Brute_Step</t>
  </si>
  <si>
    <t>-inf</t>
  </si>
  <si>
    <t>inf</t>
  </si>
  <si>
    <t>None</t>
  </si>
  <si>
    <t>Composition</t>
  </si>
  <si>
    <t>This</t>
  </si>
  <si>
    <t>regression</t>
  </si>
  <si>
    <t>is</t>
  </si>
  <si>
    <t>based</t>
  </si>
  <si>
    <t>on</t>
  </si>
  <si>
    <t>Volume</t>
  </si>
  <si>
    <t>at</t>
  </si>
  <si>
    <t>K</t>
  </si>
  <si>
    <t>Electronic</t>
  </si>
  <si>
    <t>entropy</t>
  </si>
  <si>
    <t>(1023121.84%)</t>
  </si>
  <si>
    <t>(1973761.12%)</t>
  </si>
  <si>
    <t>(546310.17%)</t>
  </si>
  <si>
    <t>(776251.43%)</t>
  </si>
  <si>
    <t>(542117.02%)</t>
  </si>
  <si>
    <t>(3027841.74%)</t>
  </si>
  <si>
    <t>(729732.78%)</t>
  </si>
  <si>
    <t>(90963.19%)</t>
  </si>
  <si>
    <t>(5522357.43%)</t>
  </si>
  <si>
    <t>Fe_12p5</t>
    <phoneticPr fontId="3" type="noConversion"/>
  </si>
  <si>
    <t>Fe_25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</si>
</sst>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4000"/>
        <bgColor rgb="FFFF420E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11" fontId="2" fillId="0" borderId="0" xfId="0" applyNumberFormat="1" applyFont="1"/>
    <xf numFmtId="0" fontId="1" fillId="3" borderId="0" xfId="0" applyFont="1" applyFill="1"/>
    <xf numFmtId="0" fontId="0" fillId="3" borderId="0" xfId="0" applyFill="1"/>
    <xf numFmtId="11" fontId="0" fillId="3" borderId="0" xfId="0" applyNumberFormat="1" applyFill="1"/>
    <xf numFmtId="0" fontId="1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Cv_el_reproduction!$H$1</c:f>
              <c:strCache>
                <c:ptCount val="1"/>
                <c:pt idx="0">
                  <c:v>Mean_Sel_Nkb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Cv_el_reproduction!$G$2:$G$5</c:f>
              <c:numCache>
                <c:formatCode>General</c:formatCode>
                <c:ptCount val="4"/>
                <c:pt idx="0">
                  <c:v>1</c:v>
                </c:pt>
                <c:pt idx="1">
                  <c:v>1.0450581898334574</c:v>
                </c:pt>
                <c:pt idx="2">
                  <c:v>1.1145161143293449</c:v>
                </c:pt>
                <c:pt idx="3">
                  <c:v>1.1952335593619683</c:v>
                </c:pt>
              </c:numCache>
            </c:numRef>
          </c:xVal>
          <c:yVal>
            <c:numRef>
              <c:f>Cv_el_reproduction!$H$2:$H$13</c:f>
              <c:numCache>
                <c:formatCode>General</c:formatCode>
                <c:ptCount val="12"/>
                <c:pt idx="0">
                  <c:v>2.80145808342343E-2</c:v>
                </c:pt>
                <c:pt idx="1">
                  <c:v>8.1084441226831006E-2</c:v>
                </c:pt>
                <c:pt idx="2">
                  <c:v>0.15523610531590801</c:v>
                </c:pt>
                <c:pt idx="3">
                  <c:v>0.32200104175119298</c:v>
                </c:pt>
                <c:pt idx="4">
                  <c:v>3.2387815424666302E-2</c:v>
                </c:pt>
                <c:pt idx="5">
                  <c:v>7.7854538349107105E-2</c:v>
                </c:pt>
                <c:pt idx="6">
                  <c:v>0.17084421107359199</c:v>
                </c:pt>
                <c:pt idx="7">
                  <c:v>0.29269510021316397</c:v>
                </c:pt>
                <c:pt idx="8">
                  <c:v>2.5477605478513399E-2</c:v>
                </c:pt>
                <c:pt idx="9">
                  <c:v>8.2146105375784206E-2</c:v>
                </c:pt>
                <c:pt idx="10">
                  <c:v>0.19406922151459899</c:v>
                </c:pt>
                <c:pt idx="11">
                  <c:v>0.33749779970128002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4-4D56-8725-4C572DAC1BA7}"/>
            </c:ext>
          </c:extLst>
        </c:ser>
        <c:ser>
          <c:idx val="1"/>
          <c:order val="1"/>
          <c:tx>
            <c:strRef>
              <c:f>Cv_el_reproduction!$H$1</c:f>
              <c:strCache>
                <c:ptCount val="1"/>
                <c:pt idx="0">
                  <c:v>Mean_Sel_Nkb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Cv_el_reproduction!$G$6:$G$9</c:f>
              <c:numCache>
                <c:formatCode>General</c:formatCode>
                <c:ptCount val="4"/>
                <c:pt idx="0">
                  <c:v>0.89725037363120186</c:v>
                </c:pt>
                <c:pt idx="1">
                  <c:v>0.93767885129441719</c:v>
                </c:pt>
                <c:pt idx="2">
                  <c:v>1</c:v>
                </c:pt>
                <c:pt idx="3">
                  <c:v>1.0724237577140774</c:v>
                </c:pt>
              </c:numCache>
            </c:numRef>
          </c:xVal>
          <c:yVal>
            <c:numRef>
              <c:f>Cv_el_reproduction!$H$6:$H$9</c:f>
              <c:numCache>
                <c:formatCode>General</c:formatCode>
                <c:ptCount val="4"/>
                <c:pt idx="0">
                  <c:v>3.2387815424666302E-2</c:v>
                </c:pt>
                <c:pt idx="1">
                  <c:v>7.7854538349107105E-2</c:v>
                </c:pt>
                <c:pt idx="2">
                  <c:v>0.17084421107359199</c:v>
                </c:pt>
                <c:pt idx="3">
                  <c:v>0.29269510021316397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4-4D56-8725-4C572DAC1BA7}"/>
            </c:ext>
          </c:extLst>
        </c:ser>
        <c:ser>
          <c:idx val="2"/>
          <c:order val="2"/>
          <c:tx>
            <c:strRef>
              <c:f>Cv_el_reproduction!$H$1</c:f>
              <c:strCache>
                <c:ptCount val="1"/>
                <c:pt idx="0">
                  <c:v>Mean_Sel_Nkb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Cv_el_reproduction!$G$10:$G$13</c:f>
              <c:numCache>
                <c:formatCode>General</c:formatCode>
                <c:ptCount val="4"/>
                <c:pt idx="0">
                  <c:v>0.8366565615291236</c:v>
                </c:pt>
                <c:pt idx="1">
                  <c:v>0.87435479170391062</c:v>
                </c:pt>
                <c:pt idx="2">
                  <c:v>0.93246721998358928</c:v>
                </c:pt>
                <c:pt idx="3">
                  <c:v>1</c:v>
                </c:pt>
              </c:numCache>
            </c:numRef>
          </c:xVal>
          <c:yVal>
            <c:numRef>
              <c:f>Cv_el_reproduction!$H$10:$H$13</c:f>
              <c:numCache>
                <c:formatCode>General</c:formatCode>
                <c:ptCount val="4"/>
                <c:pt idx="0">
                  <c:v>2.5477605478513399E-2</c:v>
                </c:pt>
                <c:pt idx="1">
                  <c:v>8.2146105375784206E-2</c:v>
                </c:pt>
                <c:pt idx="2">
                  <c:v>0.19406922151459899</c:v>
                </c:pt>
                <c:pt idx="3">
                  <c:v>0.33749779970128002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4-4D56-8725-4C572DAC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6573"/>
        <c:axId val="53130780"/>
      </c:scatterChart>
      <c:valAx>
        <c:axId val="953265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53130780"/>
        <c:crosses val="autoZero"/>
        <c:crossBetween val="midCat"/>
      </c:valAx>
      <c:valAx>
        <c:axId val="53130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953265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zh-CN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860400</xdr:colOff>
      <xdr:row>1</xdr:row>
      <xdr:rowOff>168480</xdr:rowOff>
    </xdr:from>
    <xdr:to>
      <xdr:col>5</xdr:col>
      <xdr:colOff>167400</xdr:colOff>
      <xdr:row>18</xdr:row>
      <xdr:rowOff>169560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4"/>
  <sheetViews>
    <sheetView tabSelected="1" topLeftCell="B1" zoomScale="180" zoomScaleNormal="180" workbookViewId="0">
      <selection activeCell="P11" sqref="P11"/>
    </sheetView>
  </sheetViews>
  <sheetFormatPr defaultColWidth="8.3984375" defaultRowHeight="15.6" x14ac:dyDescent="0.3"/>
  <cols>
    <col min="1" max="1" width="19.8984375" customWidth="1"/>
    <col min="2" max="2" width="31.69921875" customWidth="1"/>
    <col min="7" max="7" width="14" customWidth="1"/>
    <col min="12" max="12" width="20.09765625" customWidth="1"/>
    <col min="15" max="15" width="17.796875" customWidth="1"/>
    <col min="18" max="19" width="16.796875" customWidth="1"/>
    <col min="22" max="22" width="10.796875" customWidth="1"/>
  </cols>
  <sheetData>
    <row r="1" spans="1:10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1024" x14ac:dyDescent="0.3">
      <c r="A2" s="1" t="s">
        <v>24</v>
      </c>
      <c r="B2" s="1" t="s">
        <v>25</v>
      </c>
      <c r="C2" s="1">
        <f>U7-U2</f>
        <v>4.0802744564829254</v>
      </c>
      <c r="D2" s="1">
        <f>Q7-Q2</f>
        <v>5.8292680596158561</v>
      </c>
      <c r="E2">
        <f>S7-S2</f>
        <v>0.19357434797865025</v>
      </c>
      <c r="F2">
        <f>U7-U2-(T7-T2)</f>
        <v>-1.9425679511115561</v>
      </c>
      <c r="G2">
        <v>2000</v>
      </c>
      <c r="H2">
        <v>0</v>
      </c>
      <c r="I2">
        <v>1129.2</v>
      </c>
      <c r="J2">
        <v>1129.23282718625</v>
      </c>
      <c r="K2">
        <f>J2*10^-30*6.02*10^23</f>
        <v>6.7979816196612228E-4</v>
      </c>
      <c r="L2">
        <f>(J2/11.13994445/11.13994445/11.13994445)^(1/3)</f>
        <v>0.93478443640837516</v>
      </c>
      <c r="M2">
        <f>K2/16</f>
        <v>4.2487385122882642E-5</v>
      </c>
      <c r="N2" s="2">
        <v>2.6468275434238E-5</v>
      </c>
      <c r="O2">
        <v>24434145.810064301</v>
      </c>
      <c r="P2">
        <v>3.3466488984642799</v>
      </c>
      <c r="Q2">
        <f>P2*8.314*5</f>
        <v>139.1201947091601</v>
      </c>
      <c r="R2">
        <v>1.9147953534412999E-4</v>
      </c>
      <c r="S2" s="3">
        <v>3.6727278419804898</v>
      </c>
      <c r="T2">
        <f>Q2+S2</f>
        <v>142.79292255114061</v>
      </c>
      <c r="U2" s="2">
        <f>T2+G2*M2*N2*O2/5</f>
        <v>153.78406410697553</v>
      </c>
      <c r="V2">
        <v>753.38</v>
      </c>
      <c r="W2">
        <v>1700</v>
      </c>
      <c r="X2" t="s">
        <v>26</v>
      </c>
    </row>
    <row r="3" spans="1:1024" x14ac:dyDescent="0.3">
      <c r="A3" s="1"/>
      <c r="B3" s="1" t="s">
        <v>134</v>
      </c>
      <c r="C3" s="1">
        <f>U8-U3</f>
        <v>2.4419550839069188</v>
      </c>
      <c r="D3" s="1">
        <f>Q8-Q3</f>
        <v>6.4945535043833615</v>
      </c>
      <c r="E3">
        <f>S8-S3</f>
        <v>-1.4582335904924193</v>
      </c>
      <c r="F3">
        <f>U8-U3-(T8-T3)</f>
        <v>-2.5943648299840447</v>
      </c>
      <c r="G3">
        <v>3000</v>
      </c>
      <c r="H3">
        <v>0</v>
      </c>
      <c r="I3">
        <v>1180.1099999999999</v>
      </c>
      <c r="J3">
        <v>1180.1140142797799</v>
      </c>
      <c r="K3">
        <f>J3*10^-30*6.02*10^23</f>
        <v>7.104286365964273E-4</v>
      </c>
      <c r="L3">
        <f>(J3/11.13994445/11.13994445/11.13994445)^(1/3)</f>
        <v>0.94861858889206829</v>
      </c>
      <c r="M3">
        <f>K3/16</f>
        <v>4.4401789787276706E-5</v>
      </c>
      <c r="N3" s="2">
        <f>(N2+N4)/2</f>
        <v>2.230603895374495E-5</v>
      </c>
      <c r="O3" s="2">
        <v>24447206.707298402</v>
      </c>
      <c r="P3">
        <v>3.8527514959282598</v>
      </c>
      <c r="Q3">
        <f>P3*8.314*5</f>
        <v>160.15887968573776</v>
      </c>
      <c r="R3">
        <v>5.3646019951359097E-4</v>
      </c>
      <c r="S3" s="3">
        <v>11.4569327776967</v>
      </c>
      <c r="T3">
        <f>Q3+S3</f>
        <v>171.61581246343445</v>
      </c>
      <c r="U3" s="4">
        <f>T3+G3*M3*N3*O3/5</f>
        <v>186.14373206196717</v>
      </c>
      <c r="V3">
        <v>1180.0999999999999</v>
      </c>
      <c r="W3" t="s">
        <v>27</v>
      </c>
      <c r="X3" t="s">
        <v>26</v>
      </c>
    </row>
    <row r="4" spans="1:1024" x14ac:dyDescent="0.3">
      <c r="A4" s="1" t="s">
        <v>24</v>
      </c>
      <c r="B4" s="1" t="s">
        <v>25</v>
      </c>
      <c r="C4" s="1">
        <f>U9-U4</f>
        <v>2.7236877605812708</v>
      </c>
      <c r="D4" s="1">
        <f>Q9-Q4</f>
        <v>8.8088381038841987</v>
      </c>
      <c r="E4">
        <f>S9-S4</f>
        <v>-3.1100415289634</v>
      </c>
      <c r="F4">
        <f>U9-U4-(T9-T4)</f>
        <v>-2.975108814339535</v>
      </c>
      <c r="G4">
        <v>4000</v>
      </c>
      <c r="H4">
        <v>0</v>
      </c>
      <c r="I4">
        <v>1259</v>
      </c>
      <c r="J4">
        <v>1258.5481827287599</v>
      </c>
      <c r="K4">
        <f>J4*10^-30*6.02*10^23</f>
        <v>7.5764600600271336E-4</v>
      </c>
      <c r="L4">
        <f>(J4/11.13994445/11.13994445/11.13994445)^(1/3)</f>
        <v>0.96918553510356265</v>
      </c>
      <c r="M4">
        <f>K4/16</f>
        <v>4.7352875375169585E-5</v>
      </c>
      <c r="N4" s="2">
        <v>1.81438024732519E-5</v>
      </c>
      <c r="O4">
        <v>24460208.940101799</v>
      </c>
      <c r="P4">
        <v>4.06646982591593</v>
      </c>
      <c r="Q4">
        <f>P4*8.314*5</f>
        <v>169.04315066332521</v>
      </c>
      <c r="R4">
        <v>1.01873697173887E-3</v>
      </c>
      <c r="S4" s="3">
        <v>19.241137713412801</v>
      </c>
      <c r="T4">
        <f>Q4+S4</f>
        <v>188.284288376738</v>
      </c>
      <c r="U4" s="2">
        <f>T4+G4*M4*N4*O4/5</f>
        <v>205.09649868838144</v>
      </c>
      <c r="V4">
        <v>1044.19</v>
      </c>
      <c r="W4">
        <v>2550</v>
      </c>
      <c r="X4" t="s">
        <v>26</v>
      </c>
    </row>
    <row r="5" spans="1:1024" s="6" customFormat="1" x14ac:dyDescent="0.3">
      <c r="A5" s="5" t="s">
        <v>24</v>
      </c>
      <c r="B5" s="1" t="s">
        <v>25</v>
      </c>
      <c r="C5" s="1">
        <f>U10-U5</f>
        <v>2.2170480053204074</v>
      </c>
      <c r="D5" s="1">
        <f>Q10-Q5</f>
        <v>12.345824231996119</v>
      </c>
      <c r="E5">
        <f>S10-S5</f>
        <v>-4.7618494674345015</v>
      </c>
      <c r="F5">
        <f>U10-U5-(T10-T5)</f>
        <v>-5.3669267592412098</v>
      </c>
      <c r="G5" s="6">
        <v>5000</v>
      </c>
      <c r="H5" s="6">
        <v>0</v>
      </c>
      <c r="J5" s="6">
        <v>1349.6969713861999</v>
      </c>
      <c r="K5" s="6">
        <f>J5*10^-30*6.02*10^23</f>
        <v>8.1251757677449211E-4</v>
      </c>
      <c r="L5" s="6">
        <f>(J5/11.13994445/11.13994445/11.13994445)^(1/3)</f>
        <v>0.99203973100178022</v>
      </c>
      <c r="M5">
        <f>K5/16</f>
        <v>5.0782348548405757E-5</v>
      </c>
      <c r="N5" s="7">
        <v>2.3705404320003799E-5</v>
      </c>
      <c r="O5" s="6">
        <v>24288235.199649598</v>
      </c>
      <c r="P5" s="6">
        <v>4.8987684717482303</v>
      </c>
      <c r="Q5" s="6">
        <f>P5*8.314*5</f>
        <v>203.64180537057393</v>
      </c>
      <c r="R5">
        <v>2.3266855751867999E-3</v>
      </c>
      <c r="S5" s="3">
        <v>27.025342649129001</v>
      </c>
      <c r="T5" s="6">
        <f>Q5+S5</f>
        <v>230.66714801970295</v>
      </c>
      <c r="U5" s="2">
        <f>T5+G5*M5*N5*O5/5</f>
        <v>259.90571670679441</v>
      </c>
      <c r="W5" s="6">
        <v>0</v>
      </c>
      <c r="AMA5"/>
      <c r="AMB5"/>
      <c r="AMC5"/>
      <c r="AMD5"/>
      <c r="AME5"/>
      <c r="AMF5"/>
      <c r="AMG5"/>
      <c r="AMH5"/>
      <c r="AMI5"/>
      <c r="AMJ5"/>
    </row>
    <row r="6" spans="1:1024" x14ac:dyDescent="0.3">
      <c r="A6" s="1"/>
      <c r="B6" s="1"/>
      <c r="C6" s="1"/>
      <c r="D6" s="1"/>
      <c r="S6" s="3"/>
      <c r="U6" s="2"/>
    </row>
    <row r="7" spans="1:1024" x14ac:dyDescent="0.3">
      <c r="A7" s="1" t="s">
        <v>28</v>
      </c>
      <c r="B7" s="1"/>
      <c r="C7" s="1"/>
      <c r="G7">
        <v>2000</v>
      </c>
      <c r="H7">
        <v>0</v>
      </c>
      <c r="I7">
        <v>1151</v>
      </c>
      <c r="J7">
        <v>1151.1171864277201</v>
      </c>
      <c r="K7">
        <f>J7*10^-30*6.02*10^23</f>
        <v>6.9297254622948735E-4</v>
      </c>
      <c r="L7">
        <f>(J7/11.13994445/11.13994445/11.13994445)^(1/3)</f>
        <v>0.94078450135906644</v>
      </c>
      <c r="M7">
        <f>K7/16</f>
        <v>4.3310784139342959E-5</v>
      </c>
      <c r="N7" s="2">
        <v>2.59974437087124E-5</v>
      </c>
      <c r="O7">
        <v>20341757.414476</v>
      </c>
      <c r="P7">
        <v>3.4438288002987898</v>
      </c>
      <c r="Q7">
        <f>P7*8.314*5.0625</f>
        <v>144.94946276877596</v>
      </c>
      <c r="R7">
        <v>1.93058675248156E-4</v>
      </c>
      <c r="S7" s="3">
        <v>3.8663021899591401</v>
      </c>
      <c r="T7">
        <f>Q7+S7</f>
        <v>148.81576495873509</v>
      </c>
      <c r="U7" s="2">
        <f>T7+G7*M7*N7*O7/5.0625</f>
        <v>157.86433856345846</v>
      </c>
      <c r="V7">
        <v>797.86</v>
      </c>
      <c r="W7" t="s">
        <v>29</v>
      </c>
      <c r="X7" t="s">
        <v>26</v>
      </c>
    </row>
    <row r="8" spans="1:1024" x14ac:dyDescent="0.3">
      <c r="A8" s="1"/>
      <c r="B8" s="1"/>
      <c r="C8" s="1"/>
      <c r="G8">
        <v>3000</v>
      </c>
      <c r="H8">
        <v>0</v>
      </c>
      <c r="I8">
        <v>1204.76</v>
      </c>
      <c r="J8">
        <v>1204.7636521289801</v>
      </c>
      <c r="K8">
        <f>J8*10^-30*6.02*10^23</f>
        <v>7.2526771858164583E-4</v>
      </c>
      <c r="L8">
        <f>(J8/11.13994445/11.13994445/11.13994445)^(1/3)</f>
        <v>0.95517788818823313</v>
      </c>
      <c r="M8">
        <f>K8/16</f>
        <v>4.5329232411352864E-5</v>
      </c>
      <c r="N8" s="2">
        <f>(N7+N9)/2</f>
        <v>2.1817136728762248E-5</v>
      </c>
      <c r="O8">
        <v>20362799.9109255</v>
      </c>
      <c r="P8">
        <v>3.9594896174561098</v>
      </c>
      <c r="Q8">
        <f>P8*8.314*5.0625</f>
        <v>166.65343319012112</v>
      </c>
      <c r="R8">
        <v>5.7204584858490599E-4</v>
      </c>
      <c r="S8" s="3">
        <v>9.9986991872042807</v>
      </c>
      <c r="T8">
        <f>Q8+S8</f>
        <v>176.65213237732542</v>
      </c>
      <c r="U8" s="4">
        <f>T8+G8*M8*N8*O8/5.0625</f>
        <v>188.58568714587409</v>
      </c>
      <c r="V8">
        <v>1204.69</v>
      </c>
      <c r="W8" t="s">
        <v>30</v>
      </c>
      <c r="X8" t="s">
        <v>26</v>
      </c>
    </row>
    <row r="9" spans="1:1024" x14ac:dyDescent="0.3">
      <c r="A9" s="1" t="s">
        <v>28</v>
      </c>
      <c r="B9" s="1"/>
      <c r="C9" s="1"/>
      <c r="G9">
        <v>4000</v>
      </c>
      <c r="H9">
        <v>0</v>
      </c>
      <c r="I9">
        <v>1295</v>
      </c>
      <c r="J9">
        <v>1294.7080823971801</v>
      </c>
      <c r="K9">
        <f>J9*10^-30*6.02*10^23</f>
        <v>7.794142656031021E-4</v>
      </c>
      <c r="L9">
        <f>(J9/11.13994445/11.13994445/11.13994445)^(1/3)</f>
        <v>0.97838006357366014</v>
      </c>
      <c r="M9">
        <f>K9/16</f>
        <v>4.8713391600193881E-5</v>
      </c>
      <c r="N9" s="2">
        <v>1.7636829748812101E-5</v>
      </c>
      <c r="O9">
        <v>20383618.435314398</v>
      </c>
      <c r="P9">
        <v>4.22555413043498</v>
      </c>
      <c r="Q9">
        <f>P9*8.314*5.0625</f>
        <v>177.85198876720941</v>
      </c>
      <c r="R9">
        <v>1.17926317958249E-3</v>
      </c>
      <c r="S9" s="3">
        <v>16.131096184449401</v>
      </c>
      <c r="T9">
        <f>Q9+S9</f>
        <v>193.98308495165881</v>
      </c>
      <c r="U9" s="2">
        <f>T9+G9*M9*N9*O9/5.0625</f>
        <v>207.82018644896272</v>
      </c>
      <c r="V9">
        <v>1136.3499999999999</v>
      </c>
      <c r="W9">
        <v>2000</v>
      </c>
      <c r="X9" t="s">
        <v>26</v>
      </c>
    </row>
    <row r="10" spans="1:1024" s="6" customFormat="1" x14ac:dyDescent="0.3">
      <c r="A10" s="5" t="s">
        <v>28</v>
      </c>
      <c r="B10" s="5"/>
      <c r="C10" s="5"/>
      <c r="D10"/>
      <c r="E10"/>
      <c r="F10"/>
      <c r="G10" s="6">
        <v>5000</v>
      </c>
      <c r="H10" s="6">
        <v>0</v>
      </c>
      <c r="J10" s="6">
        <v>1372.9477456944801</v>
      </c>
      <c r="K10" s="6">
        <f>J10*10^-30*6.02*10^23</f>
        <v>8.2651454290807677E-4</v>
      </c>
      <c r="L10" s="6">
        <f>(J10/11.13994445/11.13994445/11.13994445)^(1/3)</f>
        <v>0.99770384111500598</v>
      </c>
      <c r="M10">
        <f>K10/16</f>
        <v>5.1657158931754798E-5</v>
      </c>
      <c r="N10" s="7">
        <v>2.29312057565795E-5</v>
      </c>
      <c r="O10" s="6">
        <v>20404216.136447601</v>
      </c>
      <c r="P10" s="6">
        <v>5.13161211587345</v>
      </c>
      <c r="Q10" s="6">
        <f>P10*8.314*5.0625</f>
        <v>215.98762960257005</v>
      </c>
      <c r="R10">
        <v>2.3834038236696699E-3</v>
      </c>
      <c r="S10" s="3">
        <v>22.2634931816945</v>
      </c>
      <c r="T10" s="6">
        <f>Q10+S10</f>
        <v>238.25112278426457</v>
      </c>
      <c r="U10" s="2">
        <f>T10+G10*M10*N10*O10/5.0625</f>
        <v>262.12276471211482</v>
      </c>
      <c r="W10" s="6">
        <v>2000</v>
      </c>
      <c r="X10" s="6" t="s">
        <v>26</v>
      </c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1"/>
      <c r="B11" s="1"/>
      <c r="C11" s="1"/>
      <c r="D11" s="1"/>
      <c r="S11" s="3"/>
      <c r="U11" s="2"/>
    </row>
    <row r="12" spans="1:1024" x14ac:dyDescent="0.3">
      <c r="A12" s="1" t="s">
        <v>31</v>
      </c>
      <c r="B12" s="8" t="s">
        <v>32</v>
      </c>
      <c r="C12" s="1">
        <f>U17-U12</f>
        <v>4.9262728249909458</v>
      </c>
      <c r="D12" s="1">
        <f>Q17-Q12</f>
        <v>8.9977205482642546</v>
      </c>
      <c r="E12">
        <f>S17-S12</f>
        <v>1.0016178053940905</v>
      </c>
      <c r="F12">
        <f>U17-U12-(T17-T12)</f>
        <v>-5.0730655286673993</v>
      </c>
      <c r="G12">
        <v>2000</v>
      </c>
      <c r="I12">
        <v>1135</v>
      </c>
      <c r="J12">
        <v>1134.5180933745401</v>
      </c>
      <c r="K12">
        <f>J12*10^-30*6.02*10^23</f>
        <v>6.829798922114729E-4</v>
      </c>
      <c r="L12">
        <f>(J12/11.13994445/11.13994445/11.13994445)^(1/3)</f>
        <v>0.93624055672259909</v>
      </c>
      <c r="M12">
        <f>K12/16</f>
        <v>4.2686243263217056E-5</v>
      </c>
      <c r="N12" s="2">
        <v>2.8582686114419601E-5</v>
      </c>
      <c r="O12">
        <v>21165864.565650199</v>
      </c>
      <c r="P12" s="9">
        <v>3.53821466425061</v>
      </c>
      <c r="Q12">
        <f>P12*8.314*5</f>
        <v>147.08358359289787</v>
      </c>
      <c r="R12">
        <v>3.64874432809643E-4</v>
      </c>
      <c r="S12" s="3">
        <v>4.9776754985960396</v>
      </c>
      <c r="T12">
        <f>Q12+S12</f>
        <v>152.06125909149389</v>
      </c>
      <c r="U12" s="2">
        <f>T12+G12*M12*N12*O12/5</f>
        <v>162.39094174210862</v>
      </c>
    </row>
    <row r="13" spans="1:1024" x14ac:dyDescent="0.3">
      <c r="A13" s="1"/>
      <c r="B13" s="8" t="s">
        <v>135</v>
      </c>
      <c r="C13" s="1">
        <f>U18-U13</f>
        <v>1.9976110740329034</v>
      </c>
      <c r="D13" s="1">
        <f>Q18-Q13</f>
        <v>9.4812337638549025</v>
      </c>
      <c r="E13">
        <f>S18-S13</f>
        <v>-0.6893832151795003</v>
      </c>
      <c r="F13">
        <f>U18-U13-(T18-T13)</f>
        <v>-6.7942394746424952</v>
      </c>
      <c r="G13">
        <v>3000</v>
      </c>
      <c r="I13">
        <v>1192.01</v>
      </c>
      <c r="J13">
        <v>1192.0110655255901</v>
      </c>
      <c r="K13">
        <f>J13*10^-30*6.02*10^23</f>
        <v>7.1759066144640496E-4</v>
      </c>
      <c r="L13">
        <f>(J13/11.13994445/11.13994445/11.13994445)^(1/3)</f>
        <v>0.95179569716671353</v>
      </c>
      <c r="M13">
        <f>K13/16</f>
        <v>4.484941634040031E-5</v>
      </c>
      <c r="N13" s="2">
        <f>(N12+N14)/2</f>
        <v>2.4309128562651052E-5</v>
      </c>
      <c r="O13" s="2">
        <v>21077001.734887999</v>
      </c>
      <c r="P13" s="10">
        <v>4.2017783615337798</v>
      </c>
      <c r="Q13">
        <f>P13*8.314*5</f>
        <v>174.66792648895921</v>
      </c>
      <c r="R13">
        <v>7.5042448189694495E-4</v>
      </c>
      <c r="S13" s="3">
        <v>13.7506575253642</v>
      </c>
      <c r="T13">
        <f>Q13+S13</f>
        <v>188.41858401432341</v>
      </c>
      <c r="U13" s="4">
        <f>T13+G13*M13*N13*O13/5</f>
        <v>202.20610757973506</v>
      </c>
    </row>
    <row r="14" spans="1:1024" x14ac:dyDescent="0.3">
      <c r="A14" s="1" t="s">
        <v>31</v>
      </c>
      <c r="B14" s="1" t="s">
        <v>32</v>
      </c>
      <c r="C14" s="1">
        <f>U19-U14</f>
        <v>1.1122192035493583</v>
      </c>
      <c r="D14" s="1">
        <f>Q19-Q14</f>
        <v>12.07321152910626</v>
      </c>
      <c r="E14">
        <f>S19-S14</f>
        <v>-2.3803842357530982</v>
      </c>
      <c r="F14">
        <f>U19-U14-(T19-T14)</f>
        <v>-8.5806080898038033</v>
      </c>
      <c r="G14">
        <v>4000</v>
      </c>
      <c r="I14">
        <v>1300</v>
      </c>
      <c r="J14">
        <v>1302.09196473052</v>
      </c>
      <c r="K14">
        <f>J14*10^-30*6.02*10^23</f>
        <v>7.8385936276777299E-4</v>
      </c>
      <c r="L14">
        <f>(J14/11.13994445/11.13994445/11.13994445)^(1/3)</f>
        <v>0.98023648025051968</v>
      </c>
      <c r="M14">
        <f>K14/16</f>
        <v>4.8991210172985812E-5</v>
      </c>
      <c r="N14" s="2">
        <v>2.0035571010882499E-5</v>
      </c>
      <c r="O14">
        <v>21151333.8145799</v>
      </c>
      <c r="P14" s="9">
        <v>4.4392040386223499</v>
      </c>
      <c r="Q14">
        <f>P14*8.314*5</f>
        <v>184.53771188553108</v>
      </c>
      <c r="R14">
        <v>1.4479477084624701E-3</v>
      </c>
      <c r="S14" s="3">
        <v>22.523639552132298</v>
      </c>
      <c r="T14">
        <f>Q14+S14</f>
        <v>207.06135143766338</v>
      </c>
      <c r="U14" s="2">
        <f>T14+G14*M14*N14*O14/5</f>
        <v>223.67051026620797</v>
      </c>
    </row>
    <row r="15" spans="1:1024" s="6" customFormat="1" x14ac:dyDescent="0.3">
      <c r="A15" s="5" t="s">
        <v>31</v>
      </c>
      <c r="B15" s="1" t="s">
        <v>32</v>
      </c>
      <c r="C15" s="1">
        <f>U20-U15</f>
        <v>2.1725211073703008</v>
      </c>
      <c r="D15" s="1">
        <f>Q20-Q15</f>
        <v>21.680050275704417</v>
      </c>
      <c r="E15">
        <f>S20-S15</f>
        <v>-4.0713852563266002</v>
      </c>
      <c r="F15">
        <f>U20-U15-(T20-T15)</f>
        <v>-15.436143912007537</v>
      </c>
      <c r="G15" s="6">
        <v>5000</v>
      </c>
      <c r="H15" s="6">
        <v>0</v>
      </c>
      <c r="J15" s="6">
        <v>1381.2625686674701</v>
      </c>
      <c r="K15" s="6">
        <f>J15*10^-30*6.02*10^23</f>
        <v>8.3152006633781673E-4</v>
      </c>
      <c r="L15" s="6">
        <f>(J15/11.13994445/11.13994445/11.13994445)^(1/3)</f>
        <v>0.99971388122556426</v>
      </c>
      <c r="M15">
        <f>K15/16</f>
        <v>5.1970004146113546E-5</v>
      </c>
      <c r="N15" s="7">
        <v>2.6238257891196101E-5</v>
      </c>
      <c r="O15" s="6">
        <v>21070119.284842402</v>
      </c>
      <c r="P15" s="6">
        <v>4.7735660408211196</v>
      </c>
      <c r="Q15" s="6">
        <f>P15*8.314*5</f>
        <v>198.43714031693395</v>
      </c>
      <c r="R15">
        <v>2.7350611881111599E-3</v>
      </c>
      <c r="S15" s="3">
        <v>31.2966215789004</v>
      </c>
      <c r="T15" s="6">
        <f>Q15+S15</f>
        <v>229.73376189583433</v>
      </c>
      <c r="U15" s="2">
        <f>T15+G15*M15*N15*O15/5</f>
        <v>258.4650265181632</v>
      </c>
      <c r="W15" s="6">
        <v>0</v>
      </c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S16" s="3"/>
    </row>
    <row r="17" spans="1:1024" x14ac:dyDescent="0.3">
      <c r="A17" s="1" t="s">
        <v>33</v>
      </c>
      <c r="B17" s="1"/>
      <c r="C17" s="1"/>
      <c r="D17" s="1"/>
      <c r="G17">
        <v>2000</v>
      </c>
      <c r="H17">
        <v>0</v>
      </c>
      <c r="I17">
        <v>1190</v>
      </c>
      <c r="J17">
        <v>1190.02271059746</v>
      </c>
      <c r="K17">
        <f>J17*10^-30*6.02*10^23</f>
        <v>7.163936717796708E-4</v>
      </c>
      <c r="L17">
        <f>(J17/11.13994445/11.13994445/11.13994445)^(1/3)</f>
        <v>0.95126618280987518</v>
      </c>
      <c r="M17">
        <f>K17/16</f>
        <v>4.4774604486229425E-5</v>
      </c>
      <c r="N17" s="2">
        <v>2.5573120119319799E-5</v>
      </c>
      <c r="O17">
        <v>11763992.598506801</v>
      </c>
      <c r="P17" s="9">
        <v>3.6630849907276501</v>
      </c>
      <c r="Q17">
        <f>P17*8.314*5.125</f>
        <v>156.08130414116212</v>
      </c>
      <c r="R17">
        <v>2.18136495774818E-4</v>
      </c>
      <c r="S17" s="3">
        <v>5.9792933039901301</v>
      </c>
      <c r="T17">
        <f>Q17+S17</f>
        <v>162.06059744515224</v>
      </c>
      <c r="U17" s="2">
        <f>T17+G17*M17*N17*O17/5.125</f>
        <v>167.31721456709957</v>
      </c>
      <c r="V17">
        <v>881.74</v>
      </c>
      <c r="W17">
        <v>1900</v>
      </c>
      <c r="X17" t="s">
        <v>26</v>
      </c>
    </row>
    <row r="18" spans="1:1024" x14ac:dyDescent="0.3">
      <c r="A18" s="1"/>
      <c r="B18" s="1"/>
      <c r="C18" s="1"/>
      <c r="D18" s="1"/>
      <c r="G18">
        <v>3000</v>
      </c>
      <c r="H18">
        <v>0</v>
      </c>
      <c r="I18">
        <v>1256.72</v>
      </c>
      <c r="J18">
        <v>1256.7271790775801</v>
      </c>
      <c r="K18">
        <f>J18*10^-30*6.02*10^23</f>
        <v>7.56549761804703E-4</v>
      </c>
      <c r="L18">
        <f>(J18/11.13994445/11.13994445/11.13994445)^(1/3)</f>
        <v>0.96871786865035114</v>
      </c>
      <c r="M18">
        <f>K18/16</f>
        <v>4.7284360112793938E-5</v>
      </c>
      <c r="N18" s="2">
        <f>(N17+N19)/2</f>
        <v>2.1205246407391498E-5</v>
      </c>
      <c r="O18">
        <v>11914969.816754401</v>
      </c>
      <c r="P18" s="10">
        <v>4.3218118190959496</v>
      </c>
      <c r="Q18">
        <f>P18*8.314*5.125</f>
        <v>184.14916025281411</v>
      </c>
      <c r="R18">
        <v>7.8330141187728903E-4</v>
      </c>
      <c r="S18" s="3">
        <v>13.0612743101847</v>
      </c>
      <c r="T18">
        <f>Q18+S18</f>
        <v>197.21043456299881</v>
      </c>
      <c r="U18" s="4">
        <f>T18+G18*M18*N18*O18/5.125</f>
        <v>204.20371865376796</v>
      </c>
      <c r="V18">
        <v>1256.73</v>
      </c>
      <c r="W18" t="s">
        <v>34</v>
      </c>
      <c r="X18" t="s">
        <v>26</v>
      </c>
    </row>
    <row r="19" spans="1:1024" x14ac:dyDescent="0.3">
      <c r="A19" s="1" t="s">
        <v>33</v>
      </c>
      <c r="B19" s="1"/>
      <c r="C19" s="1"/>
      <c r="D19" s="1"/>
      <c r="G19">
        <v>4000</v>
      </c>
      <c r="H19">
        <v>0</v>
      </c>
      <c r="I19">
        <v>1380</v>
      </c>
      <c r="J19">
        <v>1382.44886473765</v>
      </c>
      <c r="K19">
        <f>J19*10^-30*6.02*10^23</f>
        <v>8.3223421657206513E-4</v>
      </c>
      <c r="L19">
        <f>(J19/11.13994445/11.13994445/11.13994445)^(1/3)</f>
        <v>1.0000000004419363</v>
      </c>
      <c r="M19">
        <f>K19/16</f>
        <v>5.2014638535754071E-5</v>
      </c>
      <c r="N19" s="2">
        <v>1.68373726954632E-5</v>
      </c>
      <c r="O19">
        <v>11745489.605113201</v>
      </c>
      <c r="P19" s="9">
        <v>4.6142779658087703</v>
      </c>
      <c r="Q19">
        <f>P19*8.314*5.125</f>
        <v>196.61092341463734</v>
      </c>
      <c r="R19">
        <v>1.6109466680123299E-3</v>
      </c>
      <c r="S19" s="3">
        <v>20.1432553163792</v>
      </c>
      <c r="T19">
        <f>Q19+S19</f>
        <v>216.75417873101654</v>
      </c>
      <c r="U19" s="2">
        <f>T19+G19*M19*N19*O19/5.125</f>
        <v>224.78272946975733</v>
      </c>
      <c r="V19">
        <v>1375.12</v>
      </c>
      <c r="W19" t="s">
        <v>35</v>
      </c>
      <c r="X19" t="s">
        <v>26</v>
      </c>
    </row>
    <row r="20" spans="1:1024" s="6" customFormat="1" x14ac:dyDescent="0.3">
      <c r="A20" s="5" t="s">
        <v>33</v>
      </c>
      <c r="E20"/>
      <c r="F20"/>
      <c r="G20" s="6">
        <v>5000</v>
      </c>
      <c r="H20" s="6">
        <v>0</v>
      </c>
      <c r="J20" s="6">
        <v>1423.7479558360701</v>
      </c>
      <c r="K20" s="6">
        <f>J20*10^-30*6.02*10^23</f>
        <v>8.5709626941331393E-4</v>
      </c>
      <c r="L20" s="6">
        <f>(J20/11.13994445/11.13994445/11.13994445)^(1/3)</f>
        <v>1.0098604083177363</v>
      </c>
      <c r="M20">
        <f>K20/16</f>
        <v>5.3568516838332121E-5</v>
      </c>
      <c r="N20" s="7">
        <v>2.1475254328719801E-5</v>
      </c>
      <c r="O20" s="6">
        <v>11845904.0933725</v>
      </c>
      <c r="P20" s="6">
        <v>5.1659484875382304</v>
      </c>
      <c r="Q20" s="6">
        <f>P20*8.314*5.125</f>
        <v>220.11719059263837</v>
      </c>
      <c r="R20">
        <v>2.7379320620115801E-3</v>
      </c>
      <c r="S20" s="3">
        <v>27.225236322573799</v>
      </c>
      <c r="T20" s="6">
        <f>Q20+S20</f>
        <v>247.34242691521217</v>
      </c>
      <c r="U20" s="2">
        <f>T20+G20*M20*N20*O20/5.125</f>
        <v>260.6375476255335</v>
      </c>
      <c r="W20" s="6">
        <v>0</v>
      </c>
      <c r="X20" s="6" t="s">
        <v>26</v>
      </c>
      <c r="AMA20"/>
      <c r="AMB20"/>
      <c r="AMC20"/>
      <c r="AMD20"/>
      <c r="AME20"/>
      <c r="AMF20"/>
      <c r="AMG20"/>
      <c r="AMH20"/>
      <c r="AMI20"/>
      <c r="AMJ20"/>
    </row>
    <row r="31" spans="1:1024" x14ac:dyDescent="0.3">
      <c r="A31" s="1"/>
      <c r="B31" s="1"/>
      <c r="N31" s="2"/>
      <c r="O31" s="2"/>
      <c r="U31" s="2"/>
    </row>
    <row r="32" spans="1:1024" x14ac:dyDescent="0.3">
      <c r="A32" s="1"/>
      <c r="B32" s="1"/>
      <c r="U32" s="4"/>
    </row>
    <row r="33" spans="1:21" x14ac:dyDescent="0.3">
      <c r="A33" s="1"/>
      <c r="B33" s="1"/>
      <c r="N33" s="2"/>
      <c r="O33" s="2"/>
      <c r="U33" s="2"/>
    </row>
    <row r="37" spans="1:21" x14ac:dyDescent="0.3">
      <c r="N37" s="2"/>
    </row>
    <row r="39" spans="1:21" x14ac:dyDescent="0.3">
      <c r="N39" s="2"/>
      <c r="O39" s="2"/>
    </row>
    <row r="42" spans="1:21" x14ac:dyDescent="0.3">
      <c r="A42" s="1"/>
      <c r="B42" s="1"/>
      <c r="C42" s="1"/>
      <c r="D42" s="1"/>
      <c r="N42" s="2"/>
      <c r="U42" s="2"/>
    </row>
    <row r="43" spans="1:21" x14ac:dyDescent="0.3">
      <c r="A43" s="1"/>
      <c r="B43" s="1"/>
      <c r="C43" s="1"/>
      <c r="D43" s="1"/>
      <c r="U43" s="4"/>
    </row>
    <row r="44" spans="1:21" x14ac:dyDescent="0.3">
      <c r="A44" s="1"/>
      <c r="B44" s="1"/>
      <c r="C44" s="1"/>
      <c r="D44" s="1"/>
      <c r="N44" s="2"/>
      <c r="U44" s="2"/>
    </row>
  </sheetData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6"/>
  <sheetViews>
    <sheetView zoomScale="180" zoomScaleNormal="180" workbookViewId="0">
      <selection activeCell="D3" sqref="D3"/>
    </sheetView>
  </sheetViews>
  <sheetFormatPr defaultColWidth="8.3984375" defaultRowHeight="15.6" x14ac:dyDescent="0.3"/>
  <cols>
    <col min="1" max="1" width="14.69921875" customWidth="1"/>
    <col min="13" max="13" width="18" customWidth="1"/>
    <col min="14" max="14" width="20.59765625" customWidth="1"/>
    <col min="16" max="16" width="16.8984375" customWidth="1"/>
    <col min="19" max="19" width="13.19921875" customWidth="1"/>
    <col min="21" max="21" width="11.796875" customWidth="1"/>
    <col min="25" max="25" width="8.3984375" style="9"/>
    <col min="27" max="27" width="9.09765625" customWidth="1"/>
  </cols>
  <sheetData>
    <row r="1" spans="1:1024" x14ac:dyDescent="0.3">
      <c r="A1" t="s">
        <v>0</v>
      </c>
      <c r="B1" t="s">
        <v>1</v>
      </c>
      <c r="C1" t="s">
        <v>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s="9" t="s">
        <v>18</v>
      </c>
      <c r="Z1" t="s">
        <v>19</v>
      </c>
      <c r="AA1" t="s">
        <v>20</v>
      </c>
      <c r="AB1" t="s">
        <v>22</v>
      </c>
      <c r="AC1" t="s">
        <v>23</v>
      </c>
    </row>
    <row r="2" spans="1:1024" x14ac:dyDescent="0.3">
      <c r="A2" s="1" t="s">
        <v>24</v>
      </c>
      <c r="B2" s="1" t="s">
        <v>25</v>
      </c>
      <c r="C2" s="1">
        <f t="shared" ref="C2:D4" si="0">Z6-Z2</f>
        <v>6.1875887211716645</v>
      </c>
      <c r="D2" s="1">
        <f t="shared" si="0"/>
        <v>4.2450207700601084</v>
      </c>
      <c r="E2" s="1">
        <f>R6-R2</f>
        <v>5.8292680596158561</v>
      </c>
      <c r="F2">
        <f>Y6-Y2</f>
        <v>0.35832066155582032</v>
      </c>
      <c r="G2">
        <f>AA6-AA2-(Z6-Z2)</f>
        <v>-1.9425679511115561</v>
      </c>
      <c r="H2">
        <v>2000</v>
      </c>
      <c r="I2">
        <v>0</v>
      </c>
      <c r="J2">
        <v>1129.23282718625</v>
      </c>
      <c r="K2">
        <v>1129.23282718625</v>
      </c>
      <c r="L2">
        <f>K2*10^-30*6.02*10^23</f>
        <v>6.7979816196612228E-4</v>
      </c>
      <c r="M2">
        <f>(K2/11.13994445/11.13994445/11.13994445)^(1/3)</f>
        <v>0.93478443640837516</v>
      </c>
      <c r="N2">
        <f>L2/16</f>
        <v>4.2487385122882642E-5</v>
      </c>
      <c r="O2" s="2">
        <v>2.6468275434238E-5</v>
      </c>
      <c r="P2">
        <v>24434145.810064301</v>
      </c>
      <c r="Q2">
        <v>3.3466488984642799</v>
      </c>
      <c r="R2">
        <f>Q2*8.314*5</f>
        <v>139.1201947091601</v>
      </c>
      <c r="S2">
        <v>1.9147953534412999E-4</v>
      </c>
      <c r="T2">
        <v>-0.39200605776518299</v>
      </c>
      <c r="U2">
        <v>-0.890179515714286</v>
      </c>
      <c r="X2">
        <f>U2-T2</f>
        <v>-0.498173457949103</v>
      </c>
      <c r="Y2" s="3">
        <v>3.5079815284033198</v>
      </c>
      <c r="Z2">
        <f>R2+Y2</f>
        <v>142.62817623756342</v>
      </c>
      <c r="AA2" s="2">
        <f>Z2+H2*N2*O2*P2/5</f>
        <v>153.61931779339835</v>
      </c>
      <c r="AB2">
        <v>1700</v>
      </c>
      <c r="AC2" t="s">
        <v>26</v>
      </c>
    </row>
    <row r="3" spans="1:1024" x14ac:dyDescent="0.3">
      <c r="A3" s="1" t="s">
        <v>24</v>
      </c>
      <c r="B3" s="1" t="s">
        <v>25</v>
      </c>
      <c r="C3" s="1">
        <f t="shared" si="0"/>
        <v>-0.61464717507922728</v>
      </c>
      <c r="D3" s="1">
        <f t="shared" si="0"/>
        <v>-3.5897559894187623</v>
      </c>
      <c r="E3" s="1">
        <f>R7-R3</f>
        <v>2.4953943538841656</v>
      </c>
      <c r="F3">
        <f>Y7-Y3</f>
        <v>-3.1100415289634</v>
      </c>
      <c r="G3">
        <f>AA7-AA3-(Z7-Z3)</f>
        <v>-2.975108814339535</v>
      </c>
      <c r="H3">
        <v>4000</v>
      </c>
      <c r="I3">
        <v>0</v>
      </c>
      <c r="J3">
        <v>1258.5481827287599</v>
      </c>
      <c r="K3">
        <v>1258.5481827287599</v>
      </c>
      <c r="L3">
        <f>K3*10^-30*6.02*10^23</f>
        <v>7.5764600600271336E-4</v>
      </c>
      <c r="M3">
        <f>(K3/11.13994445/11.13994445/11.13994445)^(1/3)</f>
        <v>0.96918553510356265</v>
      </c>
      <c r="N3">
        <f>L3/16</f>
        <v>4.7352875375169585E-5</v>
      </c>
      <c r="O3" s="2">
        <v>1.81438024732519E-5</v>
      </c>
      <c r="P3">
        <v>24460208.940101799</v>
      </c>
      <c r="Q3">
        <v>4.06646982591593</v>
      </c>
      <c r="R3">
        <f>Q3*8.314*5</f>
        <v>169.04315066332521</v>
      </c>
      <c r="S3">
        <v>1.01873697173887E-3</v>
      </c>
      <c r="T3">
        <v>-4.0878677105647903</v>
      </c>
      <c r="U3">
        <v>-4.4900228378125</v>
      </c>
      <c r="X3">
        <f>U3-T3</f>
        <v>-0.40215512724770974</v>
      </c>
      <c r="Y3" s="3">
        <v>19.241137713412801</v>
      </c>
      <c r="Z3">
        <f>R3+Y3</f>
        <v>188.284288376738</v>
      </c>
      <c r="AA3" s="2">
        <f>Z3+H3*N3*O3*P3/5</f>
        <v>205.09649868838144</v>
      </c>
      <c r="AB3">
        <v>2550</v>
      </c>
      <c r="AC3" t="s">
        <v>26</v>
      </c>
    </row>
    <row r="4" spans="1:1024" s="6" customFormat="1" x14ac:dyDescent="0.3">
      <c r="A4" s="5" t="s">
        <v>24</v>
      </c>
      <c r="B4" s="1" t="s">
        <v>25</v>
      </c>
      <c r="C4" s="1">
        <f t="shared" si="0"/>
        <v>21.681623450277812</v>
      </c>
      <c r="D4" s="1">
        <f t="shared" si="0"/>
        <v>16.314696691036573</v>
      </c>
      <c r="E4" s="1">
        <f>R8-R4</f>
        <v>18.659267981996123</v>
      </c>
      <c r="F4">
        <f>Y8-Y3</f>
        <v>3.0223554682816989</v>
      </c>
      <c r="G4">
        <f>AA8-AA4-(Z8-Z4)</f>
        <v>-5.3669267592412382</v>
      </c>
      <c r="H4" s="6">
        <v>5000</v>
      </c>
      <c r="I4" s="6">
        <v>0</v>
      </c>
      <c r="J4" s="6">
        <v>1349.6969713861999</v>
      </c>
      <c r="K4" s="6">
        <v>1349.6969713861999</v>
      </c>
      <c r="L4" s="6">
        <f>K4*10^-30*6.02*10^23</f>
        <v>8.1251757677449211E-4</v>
      </c>
      <c r="M4" s="6">
        <f>(K4/11.13994445/11.13994445/11.13994445)^(1/3)</f>
        <v>0.99203973100178022</v>
      </c>
      <c r="N4">
        <f>L4/16</f>
        <v>5.0782348548405757E-5</v>
      </c>
      <c r="O4" s="7">
        <v>2.3705404320003799E-5</v>
      </c>
      <c r="P4" s="6">
        <v>24288235.199649598</v>
      </c>
      <c r="Q4" s="6">
        <v>4.8987684717482303</v>
      </c>
      <c r="R4" s="6">
        <f>Q4*8.314*5</f>
        <v>203.64180537057393</v>
      </c>
      <c r="S4">
        <v>2.3266855751867999E-3</v>
      </c>
      <c r="T4">
        <v>-11.6453952791577</v>
      </c>
      <c r="U4">
        <v>-10.685621465000001</v>
      </c>
      <c r="V4"/>
      <c r="W4"/>
      <c r="X4">
        <f>U4-T4</f>
        <v>0.95977381415769969</v>
      </c>
      <c r="Y4" s="3">
        <v>27.8798168809566</v>
      </c>
      <c r="Z4" s="6">
        <f>R4+Y3</f>
        <v>222.88294308398673</v>
      </c>
      <c r="AA4" s="2">
        <f>Z4+H4*N4*O4*P4/5</f>
        <v>252.12151177107822</v>
      </c>
      <c r="AB4" s="6">
        <v>0</v>
      </c>
      <c r="AMF4"/>
      <c r="AMG4"/>
      <c r="AMH4"/>
      <c r="AMI4"/>
      <c r="AMJ4"/>
    </row>
    <row r="5" spans="1:1024" x14ac:dyDescent="0.3">
      <c r="A5" s="1"/>
      <c r="B5" s="1"/>
      <c r="C5" s="1"/>
      <c r="D5" s="1"/>
      <c r="E5" s="1"/>
      <c r="Y5"/>
      <c r="AA5" s="2"/>
    </row>
    <row r="6" spans="1:1024" x14ac:dyDescent="0.3">
      <c r="A6" s="1" t="s">
        <v>28</v>
      </c>
      <c r="B6" s="1"/>
      <c r="C6" s="1"/>
      <c r="D6" s="1"/>
      <c r="H6">
        <v>2000</v>
      </c>
      <c r="I6">
        <v>0</v>
      </c>
      <c r="J6">
        <v>1151.1171864277201</v>
      </c>
      <c r="K6">
        <v>1151.1171864277201</v>
      </c>
      <c r="L6">
        <f>K6*10^-30*6.02*10^23</f>
        <v>6.9297254622948735E-4</v>
      </c>
      <c r="M6">
        <f>(K6/11.13994445/11.13994445/11.13994445)^(1/3)</f>
        <v>0.94078450135906644</v>
      </c>
      <c r="N6">
        <f>L6/16</f>
        <v>4.3310784139342959E-5</v>
      </c>
      <c r="O6" s="2">
        <v>2.59974437087124E-5</v>
      </c>
      <c r="P6">
        <v>20341757.414476</v>
      </c>
      <c r="Q6">
        <v>3.4438288002987898</v>
      </c>
      <c r="R6">
        <f>Q6*8.314*5.0625</f>
        <v>144.94946276877596</v>
      </c>
      <c r="S6">
        <v>1.93058675248156E-4</v>
      </c>
      <c r="T6">
        <v>-0.38666256350765499</v>
      </c>
      <c r="U6">
        <v>-0.5157493272</v>
      </c>
      <c r="X6">
        <f>U6-T6</f>
        <v>-0.12908676369234501</v>
      </c>
      <c r="Y6" s="9">
        <v>3.8663021899591401</v>
      </c>
      <c r="Z6">
        <f>R6+Y6</f>
        <v>148.81576495873509</v>
      </c>
      <c r="AA6" s="2">
        <f>Z6+H6*N6*O6*P6/5.0625</f>
        <v>157.86433856345846</v>
      </c>
      <c r="AB6" t="s">
        <v>29</v>
      </c>
      <c r="AC6" t="s">
        <v>26</v>
      </c>
    </row>
    <row r="7" spans="1:1024" x14ac:dyDescent="0.3">
      <c r="A7" s="1" t="s">
        <v>28</v>
      </c>
      <c r="B7" s="1"/>
      <c r="C7" s="1"/>
      <c r="D7" s="1"/>
      <c r="H7">
        <v>4000</v>
      </c>
      <c r="I7">
        <v>0</v>
      </c>
      <c r="J7">
        <v>1294.7080823971801</v>
      </c>
      <c r="K7">
        <v>1294.7080823971801</v>
      </c>
      <c r="L7">
        <f>K7*10^-30*6.02*10^23</f>
        <v>7.794142656031021E-4</v>
      </c>
      <c r="M7">
        <f>(K7/11.13994445/11.13994445/11.13994445)^(1/3)</f>
        <v>0.97838006357366014</v>
      </c>
      <c r="N7">
        <f>L7/16</f>
        <v>4.8713391600193881E-5</v>
      </c>
      <c r="O7" s="2">
        <v>1.7636829748812101E-5</v>
      </c>
      <c r="P7">
        <v>20383618.435314398</v>
      </c>
      <c r="Q7">
        <v>4.0755541304349796</v>
      </c>
      <c r="R7">
        <f>Q7*8.314*5.0625</f>
        <v>171.53854501720937</v>
      </c>
      <c r="S7">
        <v>1.17926317958249E-3</v>
      </c>
      <c r="T7">
        <v>-4.7234281293112197</v>
      </c>
      <c r="U7">
        <v>-4.4112788600000004</v>
      </c>
      <c r="X7">
        <f>U7-T7</f>
        <v>0.31214926931121934</v>
      </c>
      <c r="Y7" s="9">
        <v>16.131096184449401</v>
      </c>
      <c r="Z7">
        <f>R7+Y7</f>
        <v>187.66964120165878</v>
      </c>
      <c r="AA7" s="2">
        <f>Z7+H7*N7*O7*P7/5.0625</f>
        <v>201.50674269896268</v>
      </c>
      <c r="AB7">
        <v>2000</v>
      </c>
      <c r="AC7" t="s">
        <v>26</v>
      </c>
    </row>
    <row r="8" spans="1:1024" s="6" customFormat="1" x14ac:dyDescent="0.3">
      <c r="A8" s="5" t="s">
        <v>28</v>
      </c>
      <c r="B8" s="5"/>
      <c r="C8" s="5"/>
      <c r="D8" s="5"/>
      <c r="E8"/>
      <c r="F8"/>
      <c r="G8"/>
      <c r="H8" s="6">
        <v>5000</v>
      </c>
      <c r="I8" s="6">
        <v>0</v>
      </c>
      <c r="J8" s="6">
        <v>1372.9477456944801</v>
      </c>
      <c r="K8" s="6">
        <v>1372.9477456944801</v>
      </c>
      <c r="L8" s="6">
        <f>K8*10^-30*6.02*10^23</f>
        <v>8.2651454290807677E-4</v>
      </c>
      <c r="M8" s="6">
        <f>(K8/11.13994445/11.13994445/11.13994445)^(1/3)</f>
        <v>0.99770384111500598</v>
      </c>
      <c r="N8">
        <f>L8/16</f>
        <v>5.1657158931754798E-5</v>
      </c>
      <c r="O8" s="7">
        <v>2.29312057565795E-5</v>
      </c>
      <c r="P8" s="6">
        <v>20404216.136447601</v>
      </c>
      <c r="Q8" s="6">
        <v>5.2816121158734504</v>
      </c>
      <c r="R8" s="6">
        <f>Q8*8.314*5.0625</f>
        <v>222.30107335257006</v>
      </c>
      <c r="S8">
        <v>2.3834038236696699E-3</v>
      </c>
      <c r="T8">
        <v>-11.9149448941945</v>
      </c>
      <c r="U8">
        <v>-8.6619600195833293</v>
      </c>
      <c r="V8"/>
      <c r="W8"/>
      <c r="X8">
        <f>U8-T8</f>
        <v>3.2529848746111707</v>
      </c>
      <c r="Y8" s="9">
        <v>22.2634931816945</v>
      </c>
      <c r="Z8" s="6">
        <f>R8+Y8</f>
        <v>244.56456653426454</v>
      </c>
      <c r="AA8" s="2">
        <f>Z8+H8*N8*O8*P8/5.0625</f>
        <v>268.43620846211479</v>
      </c>
      <c r="AB8" s="6">
        <v>2000</v>
      </c>
      <c r="AC8" s="6" t="s">
        <v>26</v>
      </c>
      <c r="AMF8"/>
      <c r="AMG8"/>
      <c r="AMH8"/>
      <c r="AMI8"/>
      <c r="AMJ8"/>
    </row>
    <row r="9" spans="1:1024" x14ac:dyDescent="0.3">
      <c r="AA9" s="2"/>
    </row>
    <row r="10" spans="1:1024" x14ac:dyDescent="0.3">
      <c r="A10" s="1" t="s">
        <v>42</v>
      </c>
      <c r="B10" s="8" t="s">
        <v>32</v>
      </c>
      <c r="C10" s="1">
        <f t="shared" ref="C10:D12" si="1">Z14-Z10</f>
        <v>28.067855225895499</v>
      </c>
      <c r="D10" s="1">
        <f t="shared" si="1"/>
        <v>22.9947896972281</v>
      </c>
      <c r="E10" s="1">
        <f>R14-R10</f>
        <v>27.376368981444642</v>
      </c>
      <c r="F10">
        <f>Y14-Y10</f>
        <v>0.69148624445087048</v>
      </c>
      <c r="G10">
        <f>AA14-AA10-(Z14-Z10)</f>
        <v>-5.0730655286673993</v>
      </c>
      <c r="H10">
        <v>2000</v>
      </c>
      <c r="I10">
        <v>0</v>
      </c>
      <c r="J10">
        <v>1134.5180933745401</v>
      </c>
      <c r="K10">
        <v>1134.5180933745401</v>
      </c>
      <c r="L10">
        <f>K10*10^-30*6.02*10^23</f>
        <v>6.829798922114729E-4</v>
      </c>
      <c r="M10">
        <f>(K10/11.13994445/11.13994445/11.13994445)^(1/3)</f>
        <v>0.93624055672259909</v>
      </c>
      <c r="N10">
        <f>L10/16</f>
        <v>4.2686243263217056E-5</v>
      </c>
      <c r="O10" s="2">
        <v>2.8582686114419601E-5</v>
      </c>
      <c r="P10">
        <v>21165864.565650199</v>
      </c>
      <c r="Q10" s="9">
        <v>3.7429457131939698</v>
      </c>
      <c r="R10">
        <f>Q10*8.314*5</f>
        <v>155.59425329747333</v>
      </c>
      <c r="S10">
        <v>1.9483685574165301E-4</v>
      </c>
      <c r="T10">
        <v>-0.39937408223453402</v>
      </c>
      <c r="U10">
        <v>-0.78354608999999997</v>
      </c>
      <c r="X10">
        <f>U10-T10</f>
        <v>-0.38417200776546595</v>
      </c>
      <c r="Y10" s="9">
        <v>4.6661352305370096</v>
      </c>
      <c r="Z10">
        <f>R10+Y10</f>
        <v>160.26038852801034</v>
      </c>
      <c r="AA10" s="2">
        <f>Z10+H10*N10*O10*P10/5</f>
        <v>170.59007117862507</v>
      </c>
      <c r="AB10">
        <v>1500</v>
      </c>
    </row>
    <row r="11" spans="1:1024" x14ac:dyDescent="0.3">
      <c r="A11" s="1" t="s">
        <v>42</v>
      </c>
      <c r="B11" s="1" t="s">
        <v>32</v>
      </c>
      <c r="C11" s="1">
        <f t="shared" si="1"/>
        <v>5.1393447571794866</v>
      </c>
      <c r="D11" s="1">
        <f t="shared" si="1"/>
        <v>-3.4412633326243167</v>
      </c>
      <c r="E11" s="1">
        <f>R15-R11</f>
        <v>8.1893844745991942</v>
      </c>
      <c r="F11">
        <f>Y15-Y11</f>
        <v>-3.0500397174197005</v>
      </c>
      <c r="G11">
        <f>AA15-AA11-(Z15-Z11)</f>
        <v>-8.5806080898038033</v>
      </c>
      <c r="H11">
        <v>4000</v>
      </c>
      <c r="I11">
        <v>0</v>
      </c>
      <c r="J11">
        <v>1302.09196473052</v>
      </c>
      <c r="K11">
        <v>1302.09196473052</v>
      </c>
      <c r="L11">
        <f>K11*10^-30*6.02*10^23</f>
        <v>7.8385936276777299E-4</v>
      </c>
      <c r="M11">
        <f>(K11/11.13994445/11.13994445/11.13994445)^(1/3)</f>
        <v>0.98023648025051968</v>
      </c>
      <c r="N11">
        <f>L11/16</f>
        <v>4.8991210172985812E-5</v>
      </c>
      <c r="O11" s="2">
        <v>2.0035571010882499E-5</v>
      </c>
      <c r="P11">
        <v>21151333.8145799</v>
      </c>
      <c r="Q11" s="9">
        <v>4.5707688482879796</v>
      </c>
      <c r="R11">
        <f>Q11*8.314*5</f>
        <v>190.00686102333131</v>
      </c>
      <c r="S11">
        <v>1.1672704276054001E-3</v>
      </c>
      <c r="T11">
        <v>-4.7551091555770597</v>
      </c>
      <c r="U11">
        <v>-6.4319925822857096</v>
      </c>
      <c r="X11">
        <f>U11-T11</f>
        <v>-1.6768834267086499</v>
      </c>
      <c r="Y11" s="9">
        <v>22.168531939828199</v>
      </c>
      <c r="Z11">
        <f>R11+Y11</f>
        <v>212.17539296315951</v>
      </c>
      <c r="AA11" s="2">
        <f>Z11+H11*N11*O11*P11/5</f>
        <v>228.7845517917041</v>
      </c>
      <c r="AB11">
        <v>1500</v>
      </c>
    </row>
    <row r="12" spans="1:1024" s="6" customFormat="1" x14ac:dyDescent="0.3">
      <c r="A12" s="1" t="s">
        <v>42</v>
      </c>
      <c r="B12" s="1" t="s">
        <v>32</v>
      </c>
      <c r="C12" s="1">
        <f t="shared" si="1"/>
        <v>1.6919995330081576</v>
      </c>
      <c r="D12" s="1">
        <f t="shared" si="1"/>
        <v>-13.744144378999351</v>
      </c>
      <c r="E12" s="1">
        <f>R16-R12</f>
        <v>6.6689515266389492</v>
      </c>
      <c r="F12">
        <f>Y16-Y12</f>
        <v>-4.9769519936308022</v>
      </c>
      <c r="G12">
        <f>AA16-AA12-(Z16-Z12)</f>
        <v>-15.436143912007509</v>
      </c>
      <c r="H12" s="6">
        <v>5000</v>
      </c>
      <c r="I12" s="6">
        <v>0</v>
      </c>
      <c r="J12" s="6">
        <v>1381.2625686674701</v>
      </c>
      <c r="K12" s="6">
        <v>1381.2625686674701</v>
      </c>
      <c r="L12" s="6">
        <f>K12*10^-30*6.02*10^23</f>
        <v>8.3152006633781673E-4</v>
      </c>
      <c r="M12" s="6">
        <f>(K12/11.13994445/11.13994445/11.13994445)^(1/3)</f>
        <v>0.99971388122556426</v>
      </c>
      <c r="N12">
        <f>L12/16</f>
        <v>5.1970004146113546E-5</v>
      </c>
      <c r="O12" s="7">
        <v>2.6238257891196101E-5</v>
      </c>
      <c r="P12" s="6">
        <v>21070119.284842402</v>
      </c>
      <c r="Q12" s="6">
        <v>4.8919410797152798</v>
      </c>
      <c r="R12" s="6">
        <f>Q12*8.314*5</f>
        <v>203.35799068376417</v>
      </c>
      <c r="S12">
        <v>2.6574617121219498E-3</v>
      </c>
      <c r="T12">
        <v>-13.2973908834086</v>
      </c>
      <c r="U12">
        <v>-10.848826628928601</v>
      </c>
      <c r="V12"/>
      <c r="W12"/>
      <c r="X12">
        <f>U12-T12</f>
        <v>2.448564254479999</v>
      </c>
      <c r="Y12" s="9">
        <v>31.8360643223366</v>
      </c>
      <c r="Z12" s="6">
        <f>R12+Y12</f>
        <v>235.19405500610077</v>
      </c>
      <c r="AA12" s="2">
        <f>Z12+H12*N12*O12*P12/5</f>
        <v>263.92531962842963</v>
      </c>
      <c r="AB12" s="6">
        <v>2000</v>
      </c>
      <c r="AMF12"/>
      <c r="AMG12"/>
      <c r="AMH12"/>
      <c r="AMI12"/>
      <c r="AMJ12"/>
    </row>
    <row r="13" spans="1:1024" x14ac:dyDescent="0.3">
      <c r="AA13" s="2"/>
    </row>
    <row r="14" spans="1:1024" x14ac:dyDescent="0.3">
      <c r="A14" s="1" t="s">
        <v>43</v>
      </c>
      <c r="B14" s="1"/>
      <c r="C14" s="1"/>
      <c r="D14" s="1"/>
      <c r="E14" s="1"/>
      <c r="H14">
        <v>2000</v>
      </c>
      <c r="I14">
        <v>0</v>
      </c>
      <c r="J14">
        <v>1190.02271059746</v>
      </c>
      <c r="K14">
        <v>1190.02271059746</v>
      </c>
      <c r="L14">
        <f>K14*10^-30*6.02*10^23</f>
        <v>7.163936717796708E-4</v>
      </c>
      <c r="M14">
        <f>(K14/11.13994445/11.13994445/11.13994445)^(1/3)</f>
        <v>0.95126618280987518</v>
      </c>
      <c r="N14">
        <f>L14/16</f>
        <v>4.4774604486229425E-5</v>
      </c>
      <c r="O14" s="2">
        <v>2.5573120119319799E-5</v>
      </c>
      <c r="P14">
        <v>11763992.598506801</v>
      </c>
      <c r="Q14" s="9">
        <v>4.2941526142543696</v>
      </c>
      <c r="R14">
        <f>Q14*8.314*5.125</f>
        <v>182.97062227891797</v>
      </c>
      <c r="S14">
        <v>2.2163520843855499E-4</v>
      </c>
      <c r="T14">
        <v>-0.44365081514564603</v>
      </c>
      <c r="U14">
        <v>-0.72555038833333296</v>
      </c>
      <c r="V14">
        <v>-0.61721804999999996</v>
      </c>
      <c r="W14">
        <v>-0.48420338000000002</v>
      </c>
      <c r="X14">
        <f>U14-T14</f>
        <v>-0.28189957318768694</v>
      </c>
      <c r="Y14" s="9">
        <v>5.3576214749878801</v>
      </c>
      <c r="Z14">
        <f>R14+Y14</f>
        <v>188.32824375390584</v>
      </c>
      <c r="AA14" s="2">
        <f>Z14+H14*N14*O14*P14/5.125</f>
        <v>193.58486087585317</v>
      </c>
      <c r="AB14">
        <v>0</v>
      </c>
      <c r="AC14" t="s">
        <v>26</v>
      </c>
    </row>
    <row r="15" spans="1:1024" x14ac:dyDescent="0.3">
      <c r="A15" s="1" t="s">
        <v>43</v>
      </c>
      <c r="B15" s="1"/>
      <c r="C15" s="1"/>
      <c r="D15" s="1"/>
      <c r="E15" s="1"/>
      <c r="H15">
        <v>4000</v>
      </c>
      <c r="I15">
        <v>0</v>
      </c>
      <c r="J15">
        <v>1382.44886473765</v>
      </c>
      <c r="K15">
        <v>1382.44886473765</v>
      </c>
      <c r="L15">
        <f>K15*10^-30*6.02*10^23</f>
        <v>8.3223421657206513E-4</v>
      </c>
      <c r="M15">
        <f>(K15/11.13994445/11.13994445/11.13994445)^(1/3)</f>
        <v>1.0000000004419363</v>
      </c>
      <c r="N15">
        <f>L15/16</f>
        <v>5.2014638535754071E-5</v>
      </c>
      <c r="O15" s="2">
        <v>1.68373726954632E-5</v>
      </c>
      <c r="P15">
        <v>11745489.605113201</v>
      </c>
      <c r="Q15" s="9">
        <v>4.6514840204399404</v>
      </c>
      <c r="R15">
        <f>Q15*8.314*5.125</f>
        <v>198.19624549793051</v>
      </c>
      <c r="S15">
        <v>1.69285885892729E-3</v>
      </c>
      <c r="T15">
        <v>-6.7747868123295003</v>
      </c>
      <c r="U15">
        <v>-5.0988354807142802</v>
      </c>
      <c r="X15">
        <f>U15-T15</f>
        <v>1.6759513316152201</v>
      </c>
      <c r="Y15" s="9">
        <v>19.118492222408499</v>
      </c>
      <c r="Z15">
        <f>R15+Y15</f>
        <v>217.314737720339</v>
      </c>
      <c r="AA15" s="2">
        <f>Z15+H15*N15*O15*P15/5.125</f>
        <v>225.34328845907979</v>
      </c>
      <c r="AB15">
        <v>1750</v>
      </c>
      <c r="AC15" t="s">
        <v>26</v>
      </c>
    </row>
    <row r="16" spans="1:1024" s="6" customFormat="1" x14ac:dyDescent="0.3">
      <c r="A16" s="1" t="s">
        <v>43</v>
      </c>
      <c r="F16"/>
      <c r="G16"/>
      <c r="H16" s="6">
        <v>5000</v>
      </c>
      <c r="I16" s="6">
        <v>0</v>
      </c>
      <c r="J16" s="6">
        <v>1423.7479558360701</v>
      </c>
      <c r="K16" s="6">
        <v>1423.7479558360701</v>
      </c>
      <c r="L16" s="6">
        <f>K16*10^-30*6.02*10^23</f>
        <v>8.5709626941331393E-4</v>
      </c>
      <c r="M16" s="6">
        <f>(K16/11.13994445/11.13994445/11.13994445)^(1/3)</f>
        <v>1.0098604083177363</v>
      </c>
      <c r="N16">
        <f>L16/16</f>
        <v>5.3568516838332121E-5</v>
      </c>
      <c r="O16" s="7">
        <v>2.1475254328719801E-5</v>
      </c>
      <c r="P16" s="6">
        <v>11845904.0933725</v>
      </c>
      <c r="Q16" s="6">
        <v>4.9291396166419998</v>
      </c>
      <c r="R16" s="6">
        <f>Q16*8.314*5.125</f>
        <v>210.02694221040312</v>
      </c>
      <c r="S16">
        <v>2.79181890473112E-3</v>
      </c>
      <c r="T16">
        <v>-13.9601977123396</v>
      </c>
      <c r="U16">
        <v>-11.992579008571401</v>
      </c>
      <c r="V16"/>
      <c r="W16"/>
      <c r="X16">
        <f>U16-T16</f>
        <v>1.9676187037681991</v>
      </c>
      <c r="Y16" s="9">
        <v>26.859112328705798</v>
      </c>
      <c r="Z16" s="6">
        <f>R16+Y16</f>
        <v>236.88605453910893</v>
      </c>
      <c r="AA16" s="2">
        <f>Z16+H16*N16*O16*P16/5.125</f>
        <v>250.18117524943028</v>
      </c>
      <c r="AB16" s="6">
        <v>0</v>
      </c>
      <c r="AC16" s="6" t="s">
        <v>26</v>
      </c>
      <c r="AMF16"/>
      <c r="AMG16"/>
      <c r="AMH16"/>
      <c r="AMI16"/>
      <c r="AMJ16"/>
    </row>
  </sheetData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topLeftCell="G1" zoomScale="180" zoomScaleNormal="180" workbookViewId="0">
      <selection activeCell="H3" sqref="H3"/>
    </sheetView>
  </sheetViews>
  <sheetFormatPr defaultColWidth="8.3984375" defaultRowHeight="15.6" x14ac:dyDescent="0.3"/>
  <cols>
    <col min="1" max="1" width="15.8984375" customWidth="1"/>
    <col min="2" max="2" width="13.69921875" customWidth="1"/>
    <col min="3" max="3" width="19.8984375" customWidth="1"/>
    <col min="4" max="4" width="19.796875" customWidth="1"/>
    <col min="5" max="5" width="17.796875" customWidth="1"/>
    <col min="6" max="7" width="15" customWidth="1"/>
  </cols>
  <sheetData>
    <row r="1" spans="1:14" x14ac:dyDescent="0.3">
      <c r="A1" t="s">
        <v>0</v>
      </c>
      <c r="B1" t="s">
        <v>6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9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</row>
    <row r="2" spans="1:14" x14ac:dyDescent="0.3">
      <c r="A2" s="1" t="s">
        <v>24</v>
      </c>
      <c r="B2">
        <v>2000</v>
      </c>
      <c r="C2">
        <v>2000.37500404858</v>
      </c>
      <c r="D2">
        <v>1.9147953534412999E-4</v>
      </c>
      <c r="E2">
        <f>D2/0.00008617/80</f>
        <v>2.77764209330582E-2</v>
      </c>
      <c r="F2">
        <f>D2*6.02*10000*1.60217662/5</f>
        <v>3.6936797782314175</v>
      </c>
      <c r="G2">
        <v>11.2519536075449</v>
      </c>
      <c r="H2">
        <v>1129.23282718625</v>
      </c>
      <c r="I2" s="2">
        <v>7.0190000000000003E-10</v>
      </c>
      <c r="J2" s="2">
        <v>-3.1590000000000002E-7</v>
      </c>
      <c r="K2">
        <v>875</v>
      </c>
      <c r="L2" s="2">
        <v>4.7010000000000002E-23</v>
      </c>
      <c r="M2" s="2">
        <v>6.6660000000000003E-20</v>
      </c>
      <c r="N2" s="2">
        <v>1.8080000000000001E-11</v>
      </c>
    </row>
    <row r="3" spans="1:14" x14ac:dyDescent="0.3">
      <c r="A3" s="1" t="s">
        <v>24</v>
      </c>
      <c r="B3">
        <v>3000</v>
      </c>
      <c r="C3">
        <v>3003.0069012875501</v>
      </c>
      <c r="D3">
        <v>5.3646019951359097E-4</v>
      </c>
      <c r="E3">
        <f>D3/0.00008617/80</f>
        <v>7.7820035904837964E-2</v>
      </c>
      <c r="F3">
        <f>D3*6.02*10000*1.60217662/5</f>
        <v>10.348428030223378</v>
      </c>
      <c r="G3">
        <v>19.426085263416901</v>
      </c>
      <c r="H3">
        <v>1180.1140142797799</v>
      </c>
    </row>
    <row r="4" spans="1:14" x14ac:dyDescent="0.3">
      <c r="A4" s="1" t="s">
        <v>24</v>
      </c>
      <c r="B4">
        <v>4000</v>
      </c>
      <c r="C4">
        <v>3999.59813441296</v>
      </c>
      <c r="D4">
        <v>1.01873697173887E-3</v>
      </c>
      <c r="E4">
        <f>D4/0.00008617/80</f>
        <v>0.14778011078955408</v>
      </c>
      <c r="F4">
        <f>D4*6.02*10000*1.60217662/5</f>
        <v>19.651646558917406</v>
      </c>
      <c r="G4">
        <v>27.600216919289</v>
      </c>
      <c r="H4">
        <v>1258.5481827287599</v>
      </c>
    </row>
    <row r="5" spans="1:14" x14ac:dyDescent="0.3">
      <c r="A5" s="1" t="s">
        <v>24</v>
      </c>
      <c r="B5">
        <v>5000</v>
      </c>
      <c r="C5">
        <v>5000.0859843299004</v>
      </c>
      <c r="D5">
        <v>2.3266855751867999E-3</v>
      </c>
      <c r="E5">
        <f>D5/0.00008617/80</f>
        <v>0.33751386433602182</v>
      </c>
      <c r="G5">
        <v>35.774348575161</v>
      </c>
      <c r="H5" s="6">
        <v>1349.6969713861999</v>
      </c>
    </row>
    <row r="6" spans="1:14" x14ac:dyDescent="0.3">
      <c r="A6" s="1"/>
    </row>
    <row r="7" spans="1:14" x14ac:dyDescent="0.3">
      <c r="A7" s="1" t="s">
        <v>28</v>
      </c>
      <c r="B7">
        <v>2000</v>
      </c>
      <c r="C7">
        <v>1999.95285311871</v>
      </c>
      <c r="D7">
        <v>1.93058675248156E-4</v>
      </c>
      <c r="E7">
        <f>D7/0.00008617/81</f>
        <v>2.7659747419779734E-2</v>
      </c>
      <c r="F7">
        <f>D7*6.02*10000*1.60217662/5.0625</f>
        <v>3.6781646548938758</v>
      </c>
      <c r="G7">
        <v>12.801397390017801</v>
      </c>
      <c r="H7">
        <v>1151.1171864277201</v>
      </c>
    </row>
    <row r="8" spans="1:14" x14ac:dyDescent="0.3">
      <c r="A8" s="1" t="s">
        <v>28</v>
      </c>
      <c r="B8">
        <v>3000</v>
      </c>
      <c r="C8">
        <v>3000.40937735849</v>
      </c>
      <c r="D8">
        <v>5.7204584858490599E-4</v>
      </c>
      <c r="E8">
        <f>D8/0.00008617/81</f>
        <v>8.1957693245609239E-2</v>
      </c>
      <c r="F8">
        <f>D8*6.02*10000*1.60217662/5.0625</f>
        <v>10.89864943152236</v>
      </c>
      <c r="G8">
        <v>23.383873384587101</v>
      </c>
      <c r="H8">
        <v>1204.7636521289801</v>
      </c>
    </row>
    <row r="9" spans="1:14" x14ac:dyDescent="0.3">
      <c r="A9" s="1" t="s">
        <v>28</v>
      </c>
      <c r="B9">
        <v>4000</v>
      </c>
      <c r="C9">
        <v>4000.0534823943699</v>
      </c>
      <c r="D9">
        <v>1.17926317958249E-3</v>
      </c>
      <c r="E9">
        <f>D9/0.00008617/81</f>
        <v>0.168954446863219</v>
      </c>
      <c r="F9">
        <f>D9*6.02*10000*1.60217662/5.0625</f>
        <v>22.467387908793363</v>
      </c>
      <c r="G9">
        <v>33.966349379156497</v>
      </c>
      <c r="H9">
        <v>1294.7080823971801</v>
      </c>
    </row>
    <row r="10" spans="1:14" x14ac:dyDescent="0.3">
      <c r="A10" s="1" t="s">
        <v>28</v>
      </c>
      <c r="B10">
        <v>5000</v>
      </c>
      <c r="C10">
        <v>5000.4717143442604</v>
      </c>
      <c r="D10">
        <v>2.3834038236696699E-3</v>
      </c>
      <c r="E10">
        <f>D10/0.00008617/81</f>
        <v>0.34147311783478107</v>
      </c>
      <c r="G10">
        <v>44.548825373725798</v>
      </c>
      <c r="H10" s="6">
        <v>1372.9477456944801</v>
      </c>
    </row>
    <row r="11" spans="1:14" x14ac:dyDescent="0.3">
      <c r="A11" s="1"/>
    </row>
    <row r="12" spans="1:14" x14ac:dyDescent="0.3">
      <c r="A12" s="1" t="s">
        <v>55</v>
      </c>
      <c r="B12">
        <v>2000</v>
      </c>
      <c r="C12" t="s">
        <v>56</v>
      </c>
      <c r="D12">
        <v>3.64874432809643E-4</v>
      </c>
      <c r="E12">
        <f>D12/0.00008617/80</f>
        <v>5.2929446560526137E-2</v>
      </c>
      <c r="F12">
        <f>D12*6.02*10000*1.60217662/5</f>
        <v>7.038503157219786</v>
      </c>
      <c r="G12">
        <v>15.9437931952307</v>
      </c>
      <c r="H12">
        <v>1134.5180933745401</v>
      </c>
    </row>
    <row r="13" spans="1:14" x14ac:dyDescent="0.3">
      <c r="A13" s="1" t="s">
        <v>55</v>
      </c>
      <c r="B13">
        <v>3000</v>
      </c>
      <c r="C13">
        <v>2999.59164021888</v>
      </c>
      <c r="D13">
        <v>7.5042448189694495E-4</v>
      </c>
      <c r="E13">
        <f>D13/0.00008617/80</f>
        <v>0.10885814115947327</v>
      </c>
      <c r="F13">
        <f>D13*6.02*10000*1.60217662/5</f>
        <v>14.475843222049619</v>
      </c>
      <c r="G13">
        <v>26.748595594075798</v>
      </c>
      <c r="H13">
        <v>1192.0110655255901</v>
      </c>
    </row>
    <row r="14" spans="1:14" x14ac:dyDescent="0.3">
      <c r="A14" s="1" t="s">
        <v>55</v>
      </c>
      <c r="B14">
        <v>4000</v>
      </c>
      <c r="C14">
        <v>4000.2099793103498</v>
      </c>
      <c r="D14">
        <v>1.4479477084624701E-3</v>
      </c>
      <c r="E14">
        <f>D14/0.00008617/80</f>
        <v>0.21004231583823696</v>
      </c>
      <c r="F14">
        <f>D14*6.02*10000*1.60217662/5</f>
        <v>27.931210304392994</v>
      </c>
      <c r="G14">
        <v>37.5533979929209</v>
      </c>
      <c r="H14">
        <v>1302.09196473052</v>
      </c>
    </row>
    <row r="15" spans="1:14" x14ac:dyDescent="0.3">
      <c r="A15" s="1" t="s">
        <v>55</v>
      </c>
      <c r="B15">
        <v>5000</v>
      </c>
      <c r="C15">
        <v>5000.5906727498996</v>
      </c>
      <c r="D15">
        <v>2.7350611881111599E-3</v>
      </c>
      <c r="E15">
        <f>D15/0.00008617/80</f>
        <v>0.396753682852379</v>
      </c>
      <c r="G15">
        <v>48.358200391765997</v>
      </c>
      <c r="H15" s="6">
        <v>1381.2625686674701</v>
      </c>
    </row>
    <row r="16" spans="1:14" x14ac:dyDescent="0.3">
      <c r="A16" s="1"/>
    </row>
    <row r="17" spans="1:8" x14ac:dyDescent="0.3">
      <c r="A17" s="1" t="s">
        <v>33</v>
      </c>
      <c r="B17">
        <v>2000</v>
      </c>
      <c r="C17">
        <v>1999.3418401936999</v>
      </c>
      <c r="D17">
        <v>2.18136495774818E-4</v>
      </c>
      <c r="E17">
        <f>D17/0.00008617/82</f>
        <v>3.0871546570564994E-2</v>
      </c>
      <c r="F17">
        <f>D17*6.02*10000*1.60217662/5.125</f>
        <v>4.1052663899801676</v>
      </c>
      <c r="G17">
        <v>17.423552961432598</v>
      </c>
      <c r="H17">
        <v>1190.02271059746</v>
      </c>
    </row>
    <row r="18" spans="1:8" x14ac:dyDescent="0.3">
      <c r="A18" s="1" t="s">
        <v>33</v>
      </c>
      <c r="B18">
        <v>3000</v>
      </c>
      <c r="C18">
        <v>2999.8782060439598</v>
      </c>
      <c r="D18">
        <v>7.8330141187728903E-4</v>
      </c>
      <c r="E18">
        <f>D18/0.00008617/82</f>
        <v>0.11085593875369576</v>
      </c>
      <c r="F18">
        <f>D18*6.02*10000*1.60217662/5.125</f>
        <v>14.741508283526152</v>
      </c>
      <c r="G18">
        <v>40.1549432028512</v>
      </c>
      <c r="H18">
        <v>1256.7271790775801</v>
      </c>
    </row>
    <row r="19" spans="1:8" x14ac:dyDescent="0.3">
      <c r="A19" s="1" t="s">
        <v>33</v>
      </c>
      <c r="B19">
        <v>4000</v>
      </c>
      <c r="C19">
        <v>4000.0313969280501</v>
      </c>
      <c r="D19">
        <v>1.6109466680123299E-3</v>
      </c>
      <c r="E19">
        <f>D19/0.00008617/82</f>
        <v>0.2279875951412452</v>
      </c>
      <c r="F19">
        <f>D19*6.02*10000*1.60217662/5.125</f>
        <v>30.317555018709594</v>
      </c>
      <c r="G19">
        <v>62.886333444269702</v>
      </c>
      <c r="H19">
        <v>1382.44886473765</v>
      </c>
    </row>
    <row r="20" spans="1:8" x14ac:dyDescent="0.3">
      <c r="A20" s="1" t="s">
        <v>33</v>
      </c>
      <c r="B20">
        <v>5000</v>
      </c>
      <c r="C20">
        <v>4998.7083600661399</v>
      </c>
      <c r="D20">
        <v>2.7379320620115801E-3</v>
      </c>
      <c r="E20">
        <f>D20/0.00008617/82</f>
        <v>0.38748306127869475</v>
      </c>
      <c r="G20">
        <v>85.617723685688304</v>
      </c>
      <c r="H20" s="6">
        <v>1423.7479558360701</v>
      </c>
    </row>
    <row r="21" spans="1:8" x14ac:dyDescent="0.3">
      <c r="A21" s="1"/>
    </row>
    <row r="22" spans="1:8" x14ac:dyDescent="0.3">
      <c r="A22" s="1" t="s">
        <v>31</v>
      </c>
      <c r="B22">
        <v>2000</v>
      </c>
      <c r="C22">
        <v>2000.38944519447</v>
      </c>
      <c r="D22">
        <v>3.62637812608486E-4</v>
      </c>
      <c r="F22">
        <f>D22*6.02*10000*1.60217662/5</f>
        <v>6.9953582916666601</v>
      </c>
      <c r="H22">
        <v>1134.5180933745401</v>
      </c>
    </row>
    <row r="23" spans="1:8" x14ac:dyDescent="0.3">
      <c r="A23" s="1" t="s">
        <v>31</v>
      </c>
      <c r="B23">
        <v>3000</v>
      </c>
      <c r="C23">
        <v>2999.33302689416</v>
      </c>
      <c r="D23">
        <v>7.5737543017640201E-4</v>
      </c>
      <c r="F23">
        <f>D23*6.02*10000*1.60217662/5</f>
        <v>14.609928449764528</v>
      </c>
      <c r="H23">
        <v>1192.0110655255901</v>
      </c>
    </row>
    <row r="24" spans="1:8" x14ac:dyDescent="0.3">
      <c r="A24" s="1" t="s">
        <v>31</v>
      </c>
      <c r="B24">
        <v>4000</v>
      </c>
      <c r="C24">
        <v>4000.11594709572</v>
      </c>
      <c r="D24" t="s">
        <v>57</v>
      </c>
      <c r="F24">
        <f>D24*6.02*10000*1.60217662/5</f>
        <v>28.070098813003817</v>
      </c>
      <c r="H24">
        <v>1302.09196473052</v>
      </c>
    </row>
    <row r="25" spans="1:8" x14ac:dyDescent="0.3">
      <c r="A25" s="1"/>
    </row>
    <row r="26" spans="1:8" x14ac:dyDescent="0.3">
      <c r="A26" s="1" t="s">
        <v>58</v>
      </c>
      <c r="B26">
        <v>2000</v>
      </c>
      <c r="C26">
        <v>1999.4665761095</v>
      </c>
      <c r="D26">
        <v>1.8647980372666899E-4</v>
      </c>
      <c r="F26">
        <f>D26*6.02*10000*1.60217662/5</f>
        <v>3.5972339228620172</v>
      </c>
      <c r="H26">
        <v>1129.23282718625</v>
      </c>
    </row>
    <row r="27" spans="1:8" x14ac:dyDescent="0.3">
      <c r="A27" s="1" t="s">
        <v>58</v>
      </c>
      <c r="B27">
        <v>3000</v>
      </c>
      <c r="C27">
        <v>2999.8321924787701</v>
      </c>
      <c r="D27">
        <v>5.0306085712764495E-4</v>
      </c>
      <c r="F27">
        <f>D27*6.02*10000*1.60217662/5</f>
        <v>9.7041478184739596</v>
      </c>
      <c r="H27">
        <v>1180.1140142797799</v>
      </c>
    </row>
    <row r="28" spans="1:8" x14ac:dyDescent="0.3">
      <c r="A28" s="1" t="s">
        <v>58</v>
      </c>
      <c r="B28">
        <v>4000</v>
      </c>
      <c r="C28">
        <v>3999.9399537996501</v>
      </c>
      <c r="D28">
        <v>1.2405543765349699E-3</v>
      </c>
      <c r="F28">
        <f>D28*6.02*10000*1.60217662/5</f>
        <v>23.930550103792989</v>
      </c>
      <c r="H28">
        <v>1258.5481827287599</v>
      </c>
    </row>
    <row r="29" spans="1:8" x14ac:dyDescent="0.3">
      <c r="A29" s="1"/>
    </row>
    <row r="30" spans="1:8" x14ac:dyDescent="0.3">
      <c r="A30" s="1" t="s">
        <v>59</v>
      </c>
      <c r="B30">
        <v>2000</v>
      </c>
      <c r="C30">
        <v>1999.7079693795299</v>
      </c>
      <c r="D30">
        <v>2.23166879466156E-4</v>
      </c>
      <c r="F30">
        <f>D30*6.02*10000*1.60217662/5.0625</f>
        <v>4.2517878419100841</v>
      </c>
      <c r="H30">
        <v>1151.1171864277201</v>
      </c>
    </row>
    <row r="31" spans="1:8" x14ac:dyDescent="0.3">
      <c r="A31" s="1" t="s">
        <v>59</v>
      </c>
      <c r="B31">
        <v>3000</v>
      </c>
      <c r="C31">
        <v>2999.79527869513</v>
      </c>
      <c r="D31">
        <v>5.5201512133575003E-4</v>
      </c>
      <c r="F31">
        <f>D31*6.02*10000*1.60217662/5.0625</f>
        <v>10.51702289811244</v>
      </c>
      <c r="H31">
        <v>1204.7636521289801</v>
      </c>
    </row>
    <row r="32" spans="1:8" x14ac:dyDescent="0.3">
      <c r="A32" s="1" t="s">
        <v>59</v>
      </c>
      <c r="B32">
        <v>4000</v>
      </c>
      <c r="C32">
        <v>3999.9893611447001</v>
      </c>
      <c r="D32" t="s">
        <v>60</v>
      </c>
      <c r="F32">
        <f>D32*6.02*10000*1.60217662/5.0625</f>
        <v>22.849906821362243</v>
      </c>
      <c r="H32">
        <v>1294.7080823971801</v>
      </c>
    </row>
    <row r="33" spans="1:1" x14ac:dyDescent="0.3">
      <c r="A33" s="1"/>
    </row>
    <row r="35" spans="1:1" x14ac:dyDescent="0.3">
      <c r="A35" s="1"/>
    </row>
    <row r="36" spans="1:1" x14ac:dyDescent="0.3">
      <c r="A36" s="1"/>
    </row>
  </sheetData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topLeftCell="C1" zoomScale="180" zoomScaleNormal="180" workbookViewId="0"/>
  </sheetViews>
  <sheetFormatPr defaultColWidth="8.3984375" defaultRowHeight="15.6" x14ac:dyDescent="0.3"/>
  <cols>
    <col min="1" max="1" width="11.3984375" customWidth="1"/>
    <col min="2" max="2" width="11.5" customWidth="1"/>
    <col min="3" max="3" width="8.8984375" customWidth="1"/>
    <col min="4" max="4" width="10.796875" customWidth="1"/>
  </cols>
  <sheetData>
    <row r="1" spans="1:11" x14ac:dyDescent="0.3">
      <c r="A1" t="s">
        <v>0</v>
      </c>
      <c r="B1" t="s">
        <v>6</v>
      </c>
      <c r="C1" t="s">
        <v>45</v>
      </c>
      <c r="D1" t="s">
        <v>61</v>
      </c>
      <c r="E1" t="s">
        <v>9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">
      <c r="A2" s="1" t="s">
        <v>24</v>
      </c>
      <c r="B2">
        <v>2000</v>
      </c>
      <c r="C2">
        <v>1.9147953534412999E-4</v>
      </c>
      <c r="D2">
        <f>C2/0.00008617/80*8.314*5</f>
        <v>1.1546658181872294</v>
      </c>
      <c r="E2">
        <v>1129.23282718625</v>
      </c>
    </row>
    <row r="3" spans="1:11" x14ac:dyDescent="0.3">
      <c r="A3" s="1" t="s">
        <v>24</v>
      </c>
      <c r="B3">
        <v>4000</v>
      </c>
      <c r="C3">
        <v>1.01873697173887E-3</v>
      </c>
      <c r="D3">
        <f>C3/0.00008617/80*8.314*5</f>
        <v>6.1432192055217625</v>
      </c>
      <c r="E3">
        <v>1258.5481827287599</v>
      </c>
    </row>
    <row r="4" spans="1:11" x14ac:dyDescent="0.3">
      <c r="A4" s="5" t="s">
        <v>24</v>
      </c>
      <c r="B4" s="6">
        <v>5000</v>
      </c>
      <c r="C4">
        <v>2.3266855751867999E-3</v>
      </c>
      <c r="D4">
        <f>C4/0.00008617/80*8.314*5</f>
        <v>14.030451340448426</v>
      </c>
      <c r="E4" s="6">
        <v>1349.6969713861999</v>
      </c>
    </row>
    <row r="5" spans="1:11" x14ac:dyDescent="0.3">
      <c r="A5" s="1"/>
    </row>
    <row r="6" spans="1:11" x14ac:dyDescent="0.3">
      <c r="A6" s="1" t="s">
        <v>28</v>
      </c>
      <c r="B6">
        <v>2000</v>
      </c>
      <c r="C6">
        <v>1.93058675248156E-4</v>
      </c>
      <c r="D6">
        <f>C6/0.00008617/81*8.314*5.0625</f>
        <v>1.1641883964932467</v>
      </c>
      <c r="E6">
        <v>1151.1171864277201</v>
      </c>
    </row>
    <row r="7" spans="1:11" x14ac:dyDescent="0.3">
      <c r="A7" s="1" t="s">
        <v>28</v>
      </c>
      <c r="B7">
        <v>4000</v>
      </c>
      <c r="C7">
        <v>1.17926317958249E-3</v>
      </c>
      <c r="D7">
        <f>C7/0.00008617/81*8.314*5.0625</f>
        <v>7.1112293105553137</v>
      </c>
      <c r="E7">
        <v>1294.7080823971801</v>
      </c>
    </row>
    <row r="8" spans="1:11" x14ac:dyDescent="0.3">
      <c r="A8" s="5" t="s">
        <v>28</v>
      </c>
      <c r="B8" s="6">
        <v>5000</v>
      </c>
      <c r="C8">
        <v>2.3834038236696699E-3</v>
      </c>
      <c r="D8">
        <f>C8/0.00008617/81*8.314*5.0625</f>
        <v>14.372475477246748</v>
      </c>
      <c r="E8" s="6">
        <v>1372.9477456944801</v>
      </c>
    </row>
    <row r="10" spans="1:11" x14ac:dyDescent="0.3">
      <c r="A10" s="1" t="s">
        <v>55</v>
      </c>
      <c r="B10">
        <v>2000</v>
      </c>
      <c r="C10">
        <v>1.9483685574165301E-4</v>
      </c>
      <c r="D10">
        <f>C10/0.00008617/80*8.314*5</f>
        <v>1.1749112355199776</v>
      </c>
      <c r="E10">
        <v>1134.5180933745401</v>
      </c>
    </row>
    <row r="11" spans="1:11" x14ac:dyDescent="0.3">
      <c r="A11" s="1" t="s">
        <v>55</v>
      </c>
      <c r="B11">
        <v>4000</v>
      </c>
      <c r="C11">
        <v>1.1672704276054001E-3</v>
      </c>
      <c r="D11">
        <f>C11/0.00008617/80*8.314*5</f>
        <v>7.0389102465412092</v>
      </c>
      <c r="E11">
        <v>1302.09196473052</v>
      </c>
    </row>
    <row r="12" spans="1:11" x14ac:dyDescent="0.3">
      <c r="A12" s="1" t="s">
        <v>55</v>
      </c>
      <c r="B12" s="6">
        <v>5000</v>
      </c>
      <c r="C12">
        <v>2.6574617121219498E-3</v>
      </c>
      <c r="D12">
        <f>C12/0.00008617/80*8.314*5</f>
        <v>16.025107835225349</v>
      </c>
      <c r="E12" s="6">
        <v>1381.2625686674701</v>
      </c>
    </row>
    <row r="14" spans="1:11" x14ac:dyDescent="0.3">
      <c r="A14" s="1" t="s">
        <v>33</v>
      </c>
      <c r="B14">
        <v>2000</v>
      </c>
      <c r="C14">
        <v>2.2163520843855499E-4</v>
      </c>
      <c r="D14">
        <f>C14/0.00008617/82*8.314*5.125</f>
        <v>1.3365114910628311</v>
      </c>
      <c r="E14">
        <v>1190.02271059746</v>
      </c>
    </row>
    <row r="15" spans="1:11" x14ac:dyDescent="0.3">
      <c r="A15" s="1" t="s">
        <v>33</v>
      </c>
      <c r="B15">
        <v>4000</v>
      </c>
      <c r="C15">
        <v>1.69285885892729E-3</v>
      </c>
      <c r="D15">
        <f>C15/0.00008617/82*8.314*5.125</f>
        <v>10.208329866195811</v>
      </c>
      <c r="E15">
        <v>1382.44886473765</v>
      </c>
    </row>
    <row r="16" spans="1:11" x14ac:dyDescent="0.3">
      <c r="A16" s="1" t="s">
        <v>33</v>
      </c>
      <c r="B16" s="6">
        <v>5000</v>
      </c>
      <c r="C16">
        <v>2.79181890473112E-3</v>
      </c>
      <c r="D16">
        <f>C16/0.00008617/82*8.314*5.125</f>
        <v>16.835312734953096</v>
      </c>
      <c r="E16" s="6">
        <v>1423.7479558360701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"/>
  <sheetViews>
    <sheetView zoomScale="180" zoomScaleNormal="180" workbookViewId="0">
      <selection activeCell="H4" sqref="H4"/>
    </sheetView>
  </sheetViews>
  <sheetFormatPr defaultColWidth="8.3984375" defaultRowHeight="15.6" x14ac:dyDescent="0.3"/>
  <cols>
    <col min="1" max="1" width="11.59765625" customWidth="1"/>
    <col min="2" max="2" width="11.5" customWidth="1"/>
    <col min="3" max="3" width="18" customWidth="1"/>
    <col min="4" max="4" width="16.8984375" customWidth="1"/>
    <col min="8" max="8" width="16.8984375" customWidth="1"/>
  </cols>
  <sheetData>
    <row r="1" spans="1:8" x14ac:dyDescent="0.3">
      <c r="A1" t="s">
        <v>0</v>
      </c>
      <c r="B1" t="s">
        <v>6</v>
      </c>
      <c r="C1" t="s">
        <v>62</v>
      </c>
      <c r="D1" t="s">
        <v>63</v>
      </c>
      <c r="E1" t="s">
        <v>9</v>
      </c>
      <c r="G1" t="s">
        <v>64</v>
      </c>
      <c r="H1" t="s">
        <v>63</v>
      </c>
    </row>
    <row r="2" spans="1:8" x14ac:dyDescent="0.3">
      <c r="A2" s="1" t="s">
        <v>24</v>
      </c>
      <c r="B2">
        <v>2000</v>
      </c>
      <c r="C2">
        <v>1.9312131443887799E-4</v>
      </c>
      <c r="D2">
        <f t="shared" ref="D2:D13" si="0">C2/0.00008617/80</f>
        <v>2.8014580834234366E-2</v>
      </c>
      <c r="E2">
        <v>1129.23282718625</v>
      </c>
      <c r="F2">
        <v>1129.23282718625</v>
      </c>
      <c r="G2">
        <f t="shared" ref="G2:G13" si="1">F2/E2</f>
        <v>1</v>
      </c>
      <c r="H2">
        <v>2.80145808342343E-2</v>
      </c>
    </row>
    <row r="3" spans="1:8" x14ac:dyDescent="0.3">
      <c r="A3" s="1" t="s">
        <v>24</v>
      </c>
      <c r="B3">
        <v>3000</v>
      </c>
      <c r="C3">
        <v>5.5896370404128197E-4</v>
      </c>
      <c r="D3">
        <f t="shared" si="0"/>
        <v>8.1084441226830978E-2</v>
      </c>
      <c r="E3">
        <v>1129.23282718625</v>
      </c>
      <c r="F3">
        <v>1180.1140142797799</v>
      </c>
      <c r="G3">
        <f t="shared" si="1"/>
        <v>1.0450581898334574</v>
      </c>
      <c r="H3">
        <v>8.1084441226831006E-2</v>
      </c>
    </row>
    <row r="4" spans="1:8" x14ac:dyDescent="0.3">
      <c r="A4" s="1" t="s">
        <v>24</v>
      </c>
      <c r="B4">
        <v>4000</v>
      </c>
      <c r="C4">
        <v>1.07013561560574E-3</v>
      </c>
      <c r="D4">
        <f t="shared" si="0"/>
        <v>0.15523610531590754</v>
      </c>
      <c r="E4">
        <v>1129.23282718625</v>
      </c>
      <c r="F4">
        <v>1258.5481827287599</v>
      </c>
      <c r="G4">
        <f t="shared" si="1"/>
        <v>1.1145161143293449</v>
      </c>
      <c r="H4">
        <v>0.15523610531590801</v>
      </c>
    </row>
    <row r="5" spans="1:8" x14ac:dyDescent="0.3">
      <c r="A5" s="1" t="s">
        <v>24</v>
      </c>
      <c r="B5">
        <v>5000</v>
      </c>
      <c r="C5">
        <v>2.2197463814160202E-3</v>
      </c>
      <c r="D5">
        <f t="shared" si="0"/>
        <v>0.32200104175119243</v>
      </c>
      <c r="E5">
        <v>1129.23282718625</v>
      </c>
      <c r="F5" s="6">
        <v>1349.6969713861999</v>
      </c>
      <c r="G5">
        <f t="shared" si="1"/>
        <v>1.1952335593619683</v>
      </c>
      <c r="H5">
        <v>0.32200104175119298</v>
      </c>
    </row>
    <row r="6" spans="1:8" x14ac:dyDescent="0.3">
      <c r="A6" s="1" t="s">
        <v>24</v>
      </c>
      <c r="B6" s="11">
        <v>2000</v>
      </c>
      <c r="C6">
        <v>2.2326864441148001E-4</v>
      </c>
      <c r="D6">
        <f t="shared" si="0"/>
        <v>3.2387815424666358E-2</v>
      </c>
      <c r="E6" s="11">
        <v>1258.5481827287599</v>
      </c>
      <c r="F6">
        <v>1129.23282718625</v>
      </c>
      <c r="G6">
        <f t="shared" si="1"/>
        <v>0.89725037363120186</v>
      </c>
      <c r="H6">
        <v>3.2387815424666302E-2</v>
      </c>
    </row>
    <row r="7" spans="1:8" x14ac:dyDescent="0.3">
      <c r="A7" s="1" t="s">
        <v>24</v>
      </c>
      <c r="B7" s="11">
        <v>3000</v>
      </c>
      <c r="C7">
        <v>5.3669804556340499E-4</v>
      </c>
      <c r="D7">
        <f t="shared" si="0"/>
        <v>7.7854538349107147E-2</v>
      </c>
      <c r="E7" s="11">
        <v>1258.5481827287599</v>
      </c>
      <c r="F7">
        <v>1180.1140142797799</v>
      </c>
      <c r="G7">
        <f t="shared" si="1"/>
        <v>0.93767885129441719</v>
      </c>
      <c r="H7">
        <v>7.7854538349107105E-2</v>
      </c>
    </row>
    <row r="8" spans="1:8" x14ac:dyDescent="0.3">
      <c r="A8" s="1" t="s">
        <v>24</v>
      </c>
      <c r="B8" s="11">
        <v>4000</v>
      </c>
      <c r="C8">
        <v>1.1777316534569099E-3</v>
      </c>
      <c r="D8">
        <f t="shared" si="0"/>
        <v>0.17084421107359143</v>
      </c>
      <c r="E8" s="11">
        <v>1258.5481827287599</v>
      </c>
      <c r="F8">
        <v>1258.5481827287599</v>
      </c>
      <c r="G8">
        <f t="shared" si="1"/>
        <v>1</v>
      </c>
      <c r="H8">
        <v>0.17084421107359199</v>
      </c>
    </row>
    <row r="9" spans="1:8" x14ac:dyDescent="0.3">
      <c r="A9" s="1" t="s">
        <v>24</v>
      </c>
      <c r="B9" s="11">
        <v>5000</v>
      </c>
      <c r="C9">
        <v>2.0177229428294699E-3</v>
      </c>
      <c r="D9">
        <f t="shared" si="0"/>
        <v>0.29269510021316436</v>
      </c>
      <c r="E9" s="11">
        <v>1258.5481827287599</v>
      </c>
      <c r="F9" s="6">
        <v>1349.6969713861999</v>
      </c>
      <c r="G9">
        <f t="shared" si="1"/>
        <v>1.0724237577140774</v>
      </c>
      <c r="H9">
        <v>0.29269510021316397</v>
      </c>
    </row>
    <row r="10" spans="1:8" x14ac:dyDescent="0.3">
      <c r="A10" s="1" t="s">
        <v>24</v>
      </c>
      <c r="B10" s="6">
        <v>2000</v>
      </c>
      <c r="C10">
        <v>1.7563242112668E-4</v>
      </c>
      <c r="D10">
        <f t="shared" si="0"/>
        <v>2.5477605478513403E-2</v>
      </c>
      <c r="E10" s="6">
        <v>1349.6969713861999</v>
      </c>
      <c r="F10">
        <v>1129.23282718625</v>
      </c>
      <c r="G10">
        <f t="shared" si="1"/>
        <v>0.8366565615291236</v>
      </c>
      <c r="H10">
        <v>2.5477605478513399E-2</v>
      </c>
    </row>
    <row r="11" spans="1:8" x14ac:dyDescent="0.3">
      <c r="A11" s="1" t="s">
        <v>24</v>
      </c>
      <c r="B11" s="6">
        <v>3000</v>
      </c>
      <c r="C11">
        <v>5.6628239201850596E-4</v>
      </c>
      <c r="D11">
        <f t="shared" si="0"/>
        <v>8.2146105375784206E-2</v>
      </c>
      <c r="E11" s="6">
        <v>1349.6969713861999</v>
      </c>
      <c r="F11">
        <v>1180.1140142797799</v>
      </c>
      <c r="G11">
        <f t="shared" si="1"/>
        <v>0.87435479170391062</v>
      </c>
      <c r="H11">
        <v>8.2146105375784206E-2</v>
      </c>
    </row>
    <row r="12" spans="1:8" x14ac:dyDescent="0.3">
      <c r="A12" s="1" t="s">
        <v>24</v>
      </c>
      <c r="B12" s="6">
        <v>4000</v>
      </c>
      <c r="C12">
        <v>1.33783558543304E-3</v>
      </c>
      <c r="D12">
        <f t="shared" si="0"/>
        <v>0.19406922151459907</v>
      </c>
      <c r="E12" s="6">
        <v>1349.6969713861999</v>
      </c>
      <c r="F12">
        <v>1258.5481827287599</v>
      </c>
      <c r="G12">
        <f t="shared" si="1"/>
        <v>0.93246721998358928</v>
      </c>
      <c r="H12">
        <v>0.19406922151459899</v>
      </c>
    </row>
    <row r="13" spans="1:8" x14ac:dyDescent="0.3">
      <c r="A13" s="1" t="s">
        <v>24</v>
      </c>
      <c r="B13" s="6">
        <v>5000</v>
      </c>
      <c r="C13">
        <v>2.3265748320207402E-3</v>
      </c>
      <c r="D13">
        <f t="shared" si="0"/>
        <v>0.33749779970127947</v>
      </c>
      <c r="E13" s="6">
        <v>1349.6969713861999</v>
      </c>
      <c r="F13" s="6">
        <v>1349.6969713861999</v>
      </c>
      <c r="G13">
        <f t="shared" si="1"/>
        <v>1</v>
      </c>
      <c r="H13">
        <v>0.33749779970128002</v>
      </c>
    </row>
    <row r="15" spans="1:8" x14ac:dyDescent="0.3">
      <c r="A15" s="1" t="s">
        <v>28</v>
      </c>
      <c r="B15">
        <v>2000</v>
      </c>
      <c r="C15">
        <v>2.5607657008015999E-4</v>
      </c>
      <c r="D15">
        <f t="shared" ref="D15:D25" si="2">C15/0.00008617/81</f>
        <v>3.6688396620541935E-2</v>
      </c>
      <c r="E15">
        <v>1151.1171864277201</v>
      </c>
      <c r="F15">
        <v>1151.1171864277201</v>
      </c>
      <c r="G15">
        <f t="shared" ref="G15:G25" si="3">F15/E15</f>
        <v>1</v>
      </c>
      <c r="H15">
        <v>3.6688396620541901E-2</v>
      </c>
    </row>
    <row r="16" spans="1:8" x14ac:dyDescent="0.3">
      <c r="A16" s="1" t="s">
        <v>28</v>
      </c>
      <c r="B16">
        <v>3000</v>
      </c>
      <c r="C16">
        <v>5.7428407226590603E-4</v>
      </c>
      <c r="D16">
        <f t="shared" si="2"/>
        <v>8.2278366230678954E-2</v>
      </c>
      <c r="E16">
        <v>1151.1171864277201</v>
      </c>
      <c r="F16">
        <v>1204.7636521289801</v>
      </c>
      <c r="G16">
        <f t="shared" si="3"/>
        <v>1.0466038265554369</v>
      </c>
      <c r="H16">
        <v>8.2278366230678995E-2</v>
      </c>
    </row>
    <row r="17" spans="1:8" x14ac:dyDescent="0.3">
      <c r="A17" s="1" t="s">
        <v>28</v>
      </c>
      <c r="B17">
        <v>4000</v>
      </c>
      <c r="C17">
        <v>1.0327956064452701E-3</v>
      </c>
      <c r="D17">
        <f t="shared" si="2"/>
        <v>0.14796986239450155</v>
      </c>
      <c r="E17">
        <v>1151.1171864277201</v>
      </c>
      <c r="F17">
        <v>1294.7080823971801</v>
      </c>
      <c r="G17">
        <f t="shared" si="3"/>
        <v>1.1247404674888644</v>
      </c>
      <c r="H17">
        <v>0.14796986239450199</v>
      </c>
    </row>
    <row r="18" spans="1:8" x14ac:dyDescent="0.3">
      <c r="A18" s="1" t="s">
        <v>28</v>
      </c>
      <c r="B18">
        <v>5000</v>
      </c>
      <c r="C18">
        <v>2.0058306846592899E-3</v>
      </c>
      <c r="D18">
        <f t="shared" si="2"/>
        <v>0.2873777623989458</v>
      </c>
      <c r="E18">
        <v>1151.1171864277201</v>
      </c>
      <c r="F18" s="6">
        <v>1372.9477456944801</v>
      </c>
      <c r="G18">
        <f t="shared" si="3"/>
        <v>1.1927089282327286</v>
      </c>
      <c r="H18">
        <v>0.28737776239894602</v>
      </c>
    </row>
    <row r="19" spans="1:8" x14ac:dyDescent="0.3">
      <c r="A19" s="1"/>
      <c r="B19" s="11">
        <v>3000</v>
      </c>
      <c r="C19">
        <v>6.1074408677882998E-4</v>
      </c>
      <c r="D19">
        <f t="shared" si="2"/>
        <v>8.7502036138559003E-2</v>
      </c>
      <c r="E19" s="11">
        <v>1294.7080823971801</v>
      </c>
      <c r="F19">
        <v>1204.7636521289801</v>
      </c>
      <c r="G19">
        <f t="shared" si="3"/>
        <v>0.93052918144940755</v>
      </c>
      <c r="H19">
        <v>8.7502036138559003E-2</v>
      </c>
    </row>
    <row r="20" spans="1:8" x14ac:dyDescent="0.3">
      <c r="A20" s="1"/>
      <c r="B20" s="11">
        <v>4000</v>
      </c>
      <c r="C20">
        <v>1.2381805188554399E-3</v>
      </c>
      <c r="D20">
        <f t="shared" si="2"/>
        <v>0.17739560456224776</v>
      </c>
      <c r="E20" s="11">
        <v>1294.7080823971801</v>
      </c>
      <c r="F20">
        <v>1294.7080823971801</v>
      </c>
      <c r="G20">
        <f t="shared" si="3"/>
        <v>1</v>
      </c>
      <c r="H20">
        <v>0.17739560456224801</v>
      </c>
    </row>
    <row r="21" spans="1:8" x14ac:dyDescent="0.3">
      <c r="A21" s="1"/>
      <c r="B21" s="11">
        <v>5000</v>
      </c>
      <c r="C21">
        <v>2.3199378567331399E-3</v>
      </c>
      <c r="D21">
        <f t="shared" si="2"/>
        <v>0.33238027280743349</v>
      </c>
      <c r="E21" s="11">
        <v>1294.7080823971801</v>
      </c>
      <c r="F21" s="6">
        <v>1372.9477456944801</v>
      </c>
      <c r="G21">
        <f t="shared" si="3"/>
        <v>1.0604303505639956</v>
      </c>
      <c r="H21">
        <v>0.33238027280743399</v>
      </c>
    </row>
    <row r="22" spans="1:8" x14ac:dyDescent="0.3">
      <c r="A22" s="5"/>
      <c r="B22" s="6">
        <v>2000</v>
      </c>
      <c r="C22">
        <v>2.6401808749499002E-4</v>
      </c>
      <c r="D22">
        <f t="shared" si="2"/>
        <v>3.7826187323506365E-2</v>
      </c>
      <c r="E22" s="6">
        <v>1372.9477456944801</v>
      </c>
      <c r="F22">
        <v>1151.1171864277201</v>
      </c>
      <c r="G22">
        <f t="shared" si="3"/>
        <v>0.83842752940713616</v>
      </c>
      <c r="H22">
        <v>3.7826187323506399E-2</v>
      </c>
    </row>
    <row r="23" spans="1:8" x14ac:dyDescent="0.3">
      <c r="A23" s="5"/>
      <c r="B23" s="6">
        <v>3000</v>
      </c>
      <c r="C23">
        <v>6.4455651597763997E-4</v>
      </c>
      <c r="D23">
        <f t="shared" si="2"/>
        <v>9.2346383330344686E-2</v>
      </c>
      <c r="E23" s="6">
        <v>1372.9477456944801</v>
      </c>
      <c r="F23">
        <v>1204.7636521289801</v>
      </c>
      <c r="G23">
        <f t="shared" si="3"/>
        <v>0.8775014605669299</v>
      </c>
      <c r="H23">
        <v>9.23463833303447E-2</v>
      </c>
    </row>
    <row r="24" spans="1:8" x14ac:dyDescent="0.3">
      <c r="A24" s="5"/>
      <c r="B24" s="6">
        <v>4000</v>
      </c>
      <c r="C24">
        <v>1.28677392434157E-3</v>
      </c>
      <c r="D24">
        <f t="shared" si="2"/>
        <v>0.18435763991386106</v>
      </c>
      <c r="E24" s="6">
        <v>1372.9477456944801</v>
      </c>
      <c r="F24">
        <v>1294.7080823971801</v>
      </c>
      <c r="G24">
        <f t="shared" si="3"/>
        <v>0.9430133713809159</v>
      </c>
      <c r="H24">
        <v>0.184357639913861</v>
      </c>
    </row>
    <row r="25" spans="1:8" x14ac:dyDescent="0.3">
      <c r="A25" s="5"/>
      <c r="B25" s="6">
        <v>5000</v>
      </c>
      <c r="C25">
        <v>2.4597503405029801E-3</v>
      </c>
      <c r="D25">
        <f t="shared" si="2"/>
        <v>0.35241137465890426</v>
      </c>
      <c r="E25" s="6">
        <v>1372.9477456944801</v>
      </c>
      <c r="F25" s="6">
        <v>1372.9477456944801</v>
      </c>
      <c r="G25">
        <f t="shared" si="3"/>
        <v>1</v>
      </c>
      <c r="H25">
        <v>0.35241137465890399</v>
      </c>
    </row>
    <row r="27" spans="1:8" x14ac:dyDescent="0.3">
      <c r="A27" s="1" t="s">
        <v>55</v>
      </c>
      <c r="B27">
        <v>2000</v>
      </c>
      <c r="C27">
        <v>3.3090866974188601E-4</v>
      </c>
      <c r="D27">
        <f t="shared" ref="D27:D34" si="4">C27/0.00008617/80</f>
        <v>4.800230209787136E-2</v>
      </c>
      <c r="E27">
        <v>1134.5180933745401</v>
      </c>
      <c r="F27">
        <v>1134.5180933745401</v>
      </c>
      <c r="G27">
        <f t="shared" ref="G27:G34" si="5">F27/E27</f>
        <v>1</v>
      </c>
      <c r="H27">
        <v>4.8002302097871402E-2</v>
      </c>
    </row>
    <row r="28" spans="1:8" x14ac:dyDescent="0.3">
      <c r="A28" s="1" t="s">
        <v>55</v>
      </c>
      <c r="B28">
        <v>3000</v>
      </c>
      <c r="C28">
        <v>6.5434920100166803E-4</v>
      </c>
      <c r="D28">
        <f t="shared" si="4"/>
        <v>9.4921260444712205E-2</v>
      </c>
      <c r="E28">
        <v>1134.5180933745401</v>
      </c>
      <c r="F28">
        <v>1192.0110655255901</v>
      </c>
      <c r="G28">
        <f t="shared" si="5"/>
        <v>1.0506761174518084</v>
      </c>
      <c r="H28">
        <v>9.4921260444712205E-2</v>
      </c>
    </row>
    <row r="29" spans="1:8" x14ac:dyDescent="0.3">
      <c r="A29" s="1" t="s">
        <v>55</v>
      </c>
      <c r="B29">
        <v>4000</v>
      </c>
      <c r="C29">
        <v>1.4409421217322299E-3</v>
      </c>
      <c r="D29">
        <f t="shared" si="4"/>
        <v>0.20902607080947982</v>
      </c>
      <c r="E29">
        <v>1134.5180933745401</v>
      </c>
      <c r="F29">
        <v>1302.09196473052</v>
      </c>
      <c r="G29">
        <f t="shared" si="5"/>
        <v>1.1477048910322301</v>
      </c>
      <c r="H29">
        <v>0.20902607080947999</v>
      </c>
    </row>
    <row r="30" spans="1:8" x14ac:dyDescent="0.3">
      <c r="A30" s="1" t="s">
        <v>55</v>
      </c>
      <c r="B30">
        <v>5000</v>
      </c>
      <c r="C30">
        <v>2.4683542594053898E-3</v>
      </c>
      <c r="D30">
        <f t="shared" si="4"/>
        <v>0.35806461927082944</v>
      </c>
      <c r="E30">
        <v>1134.5180933745401</v>
      </c>
      <c r="F30" s="6">
        <v>1381.2625686674701</v>
      </c>
      <c r="G30">
        <f t="shared" si="5"/>
        <v>1.2174883562755767</v>
      </c>
      <c r="H30">
        <v>0.35806461927083</v>
      </c>
    </row>
    <row r="31" spans="1:8" x14ac:dyDescent="0.3">
      <c r="A31" s="1" t="s">
        <v>55</v>
      </c>
      <c r="B31" s="11">
        <v>3000</v>
      </c>
      <c r="C31">
        <v>8.1694100701402799E-4</v>
      </c>
      <c r="D31">
        <f t="shared" si="4"/>
        <v>0.11850716708454626</v>
      </c>
      <c r="E31" s="11">
        <v>1302.09196473052</v>
      </c>
      <c r="F31">
        <v>1192.0110655255901</v>
      </c>
      <c r="G31">
        <f t="shared" si="5"/>
        <v>0.91545842982933068</v>
      </c>
      <c r="H31">
        <v>0.11850716708454601</v>
      </c>
    </row>
    <row r="32" spans="1:8" x14ac:dyDescent="0.3">
      <c r="A32" s="1" t="s">
        <v>55</v>
      </c>
      <c r="B32" s="11">
        <v>4000</v>
      </c>
      <c r="C32">
        <v>1.1672704276054001E-3</v>
      </c>
      <c r="D32">
        <f t="shared" si="4"/>
        <v>0.16932668382345945</v>
      </c>
      <c r="E32" s="11">
        <v>1302.09196473052</v>
      </c>
      <c r="F32">
        <v>1302.09196473052</v>
      </c>
      <c r="G32">
        <f t="shared" si="5"/>
        <v>1</v>
      </c>
      <c r="H32">
        <v>0.169326683823459</v>
      </c>
    </row>
    <row r="33" spans="1:8" x14ac:dyDescent="0.3">
      <c r="A33" s="1" t="s">
        <v>55</v>
      </c>
      <c r="B33" s="11">
        <v>5000</v>
      </c>
      <c r="C33">
        <v>2.8137694343562001E-3</v>
      </c>
      <c r="D33">
        <f t="shared" si="4"/>
        <v>0.40817126528319025</v>
      </c>
      <c r="E33" s="11">
        <v>1302.09196473052</v>
      </c>
      <c r="F33" s="6">
        <v>1381.2625686674701</v>
      </c>
      <c r="G33">
        <f t="shared" si="5"/>
        <v>1.0608026207682921</v>
      </c>
      <c r="H33">
        <v>0.40817126528318998</v>
      </c>
    </row>
    <row r="34" spans="1:8" x14ac:dyDescent="0.3">
      <c r="A34" s="1" t="s">
        <v>55</v>
      </c>
      <c r="B34" s="6">
        <v>2000</v>
      </c>
      <c r="C34">
        <v>3.3126850105903098E-4</v>
      </c>
      <c r="D34">
        <f t="shared" si="4"/>
        <v>4.805449997955074E-2</v>
      </c>
      <c r="E34" s="6">
        <v>1381.2625686674701</v>
      </c>
      <c r="F34">
        <v>1134.5180933745401</v>
      </c>
      <c r="G34">
        <f t="shared" si="5"/>
        <v>0.82136309135563623</v>
      </c>
      <c r="H34">
        <v>4.8054499979550698E-2</v>
      </c>
    </row>
    <row r="35" spans="1:8" x14ac:dyDescent="0.3">
      <c r="A35" s="1"/>
      <c r="B35" s="6"/>
      <c r="E35" s="6"/>
    </row>
    <row r="36" spans="1:8" x14ac:dyDescent="0.3">
      <c r="A36" s="1"/>
      <c r="B36" s="6"/>
      <c r="E36" s="6"/>
    </row>
    <row r="37" spans="1:8" x14ac:dyDescent="0.3">
      <c r="A37" s="1" t="s">
        <v>55</v>
      </c>
      <c r="B37" s="6">
        <v>5000</v>
      </c>
      <c r="C37">
        <v>2.6574617121219498E-3</v>
      </c>
      <c r="D37">
        <f>C37/0.00008617/80</f>
        <v>0.3854969409484087</v>
      </c>
      <c r="E37" s="6">
        <v>1381.2625686674701</v>
      </c>
      <c r="F37" s="6">
        <v>1381.2625686674701</v>
      </c>
      <c r="G37">
        <f>F37/E37</f>
        <v>1</v>
      </c>
      <c r="H37">
        <v>0.38549694094840897</v>
      </c>
    </row>
    <row r="39" spans="1:8" x14ac:dyDescent="0.3">
      <c r="A39" s="1" t="s">
        <v>33</v>
      </c>
      <c r="B39">
        <v>2000</v>
      </c>
      <c r="C39">
        <v>2.2163520843855499E-4</v>
      </c>
      <c r="D39">
        <f t="shared" ref="D39:D50" si="6">C39/0.00008617/82</f>
        <v>3.1366698335756463E-2</v>
      </c>
      <c r="E39">
        <v>1190.02271059746</v>
      </c>
      <c r="F39">
        <v>1190.02271059746</v>
      </c>
      <c r="G39">
        <f t="shared" ref="G39:G50" si="7">F39/E39</f>
        <v>1</v>
      </c>
      <c r="H39">
        <v>3.1366698335756497E-2</v>
      </c>
    </row>
    <row r="40" spans="1:8" x14ac:dyDescent="0.3">
      <c r="A40" s="1" t="s">
        <v>33</v>
      </c>
      <c r="B40">
        <v>3000</v>
      </c>
      <c r="C40">
        <v>7.0163320384512796E-4</v>
      </c>
      <c r="D40">
        <f t="shared" si="6"/>
        <v>9.9297928349961637E-2</v>
      </c>
      <c r="E40">
        <v>1190.02271059746</v>
      </c>
      <c r="F40">
        <v>1256.7271790775801</v>
      </c>
      <c r="G40">
        <f t="shared" si="7"/>
        <v>1.0560531054458873</v>
      </c>
      <c r="H40">
        <v>9.9297928349961595E-2</v>
      </c>
    </row>
    <row r="41" spans="1:8" x14ac:dyDescent="0.3">
      <c r="A41" s="1" t="s">
        <v>33</v>
      </c>
      <c r="B41">
        <v>4000</v>
      </c>
      <c r="C41">
        <v>1.5615681113266399E-3</v>
      </c>
      <c r="D41">
        <f t="shared" si="6"/>
        <v>0.22099934493169202</v>
      </c>
      <c r="E41">
        <v>1190.02271059746</v>
      </c>
      <c r="F41">
        <v>1382.44886473765</v>
      </c>
      <c r="G41">
        <f t="shared" si="7"/>
        <v>1.1616995645768651</v>
      </c>
      <c r="H41">
        <v>0.22099934493169199</v>
      </c>
    </row>
    <row r="42" spans="1:8" x14ac:dyDescent="0.3">
      <c r="A42" s="1" t="s">
        <v>33</v>
      </c>
      <c r="B42">
        <v>5000</v>
      </c>
      <c r="C42">
        <v>2.43695462080285E-3</v>
      </c>
      <c r="D42">
        <f t="shared" si="6"/>
        <v>0.34488753383171245</v>
      </c>
      <c r="E42">
        <v>1190.02271059746</v>
      </c>
      <c r="F42" s="6">
        <v>1423.7479558360701</v>
      </c>
      <c r="G42">
        <f t="shared" si="7"/>
        <v>1.1964040208285325</v>
      </c>
      <c r="H42">
        <v>0.344887533831713</v>
      </c>
    </row>
    <row r="43" spans="1:8" x14ac:dyDescent="0.3">
      <c r="A43" s="1" t="s">
        <v>33</v>
      </c>
      <c r="B43" s="11">
        <v>2000</v>
      </c>
      <c r="C43">
        <v>3.9561767032584297E-4</v>
      </c>
      <c r="D43">
        <f t="shared" si="6"/>
        <v>5.5989389992816663E-2</v>
      </c>
      <c r="E43" s="11">
        <v>1382.44886473765</v>
      </c>
      <c r="F43">
        <v>1190.02271059746</v>
      </c>
      <c r="G43">
        <f t="shared" si="7"/>
        <v>0.86080776002032666</v>
      </c>
      <c r="H43">
        <v>5.59893899928166E-2</v>
      </c>
    </row>
    <row r="44" spans="1:8" x14ac:dyDescent="0.3">
      <c r="A44" s="1" t="s">
        <v>33</v>
      </c>
      <c r="B44" s="11">
        <v>3000</v>
      </c>
      <c r="C44">
        <v>8.6283450353129504E-4</v>
      </c>
      <c r="D44">
        <f t="shared" si="6"/>
        <v>0.12211177897509674</v>
      </c>
      <c r="E44" s="11">
        <v>1382.44886473765</v>
      </c>
      <c r="F44">
        <v>1256.7271790775801</v>
      </c>
      <c r="G44">
        <f t="shared" si="7"/>
        <v>0.90905870816138412</v>
      </c>
      <c r="H44">
        <v>0.12211177897509699</v>
      </c>
    </row>
    <row r="45" spans="1:8" x14ac:dyDescent="0.3">
      <c r="A45" s="1" t="s">
        <v>33</v>
      </c>
      <c r="B45" s="11">
        <v>4000</v>
      </c>
      <c r="C45">
        <v>1.69285885892729E-3</v>
      </c>
      <c r="D45">
        <f t="shared" si="6"/>
        <v>0.23958013497528849</v>
      </c>
      <c r="E45" s="11">
        <v>1382.44886473765</v>
      </c>
      <c r="F45">
        <v>1382.44886473765</v>
      </c>
      <c r="G45">
        <f t="shared" si="7"/>
        <v>1</v>
      </c>
      <c r="H45">
        <v>0.23958013497528799</v>
      </c>
    </row>
    <row r="46" spans="1:8" x14ac:dyDescent="0.3">
      <c r="A46" s="1" t="s">
        <v>33</v>
      </c>
      <c r="B46" s="11">
        <v>5000</v>
      </c>
      <c r="C46">
        <v>2.5408963545810901E-3</v>
      </c>
      <c r="D46">
        <f t="shared" si="6"/>
        <v>0.35959778240136347</v>
      </c>
      <c r="E46" s="11">
        <v>1382.44886473765</v>
      </c>
      <c r="F46" s="6">
        <v>1423.7479558360701</v>
      </c>
      <c r="G46">
        <f t="shared" si="7"/>
        <v>1.0298738652487212</v>
      </c>
      <c r="H46">
        <v>0.35959778240136298</v>
      </c>
    </row>
    <row r="47" spans="1:8" x14ac:dyDescent="0.3">
      <c r="A47" s="1" t="s">
        <v>33</v>
      </c>
      <c r="B47" s="6">
        <v>2000</v>
      </c>
      <c r="C47">
        <v>4.8609218582164299E-4</v>
      </c>
      <c r="D47">
        <f t="shared" si="6"/>
        <v>6.8793704138676956E-2</v>
      </c>
      <c r="E47" s="6">
        <v>1423.7479558360701</v>
      </c>
      <c r="F47">
        <v>1190.02271059746</v>
      </c>
      <c r="G47">
        <f t="shared" si="7"/>
        <v>0.83583804683929519</v>
      </c>
      <c r="H47">
        <v>6.8793704138676998E-2</v>
      </c>
    </row>
    <row r="48" spans="1:8" x14ac:dyDescent="0.3">
      <c r="A48" s="1" t="s">
        <v>33</v>
      </c>
      <c r="B48" s="6">
        <v>3000</v>
      </c>
      <c r="C48">
        <v>8.3981390977890501E-4</v>
      </c>
      <c r="D48">
        <f t="shared" si="6"/>
        <v>0.11885381276644084</v>
      </c>
      <c r="E48" s="6">
        <v>1423.7479558360701</v>
      </c>
      <c r="F48">
        <v>1256.7271790775801</v>
      </c>
      <c r="G48">
        <f t="shared" si="7"/>
        <v>0.88268936501446282</v>
      </c>
      <c r="H48">
        <v>0.118853812766441</v>
      </c>
    </row>
    <row r="49" spans="1:8" x14ac:dyDescent="0.3">
      <c r="A49" s="1" t="s">
        <v>33</v>
      </c>
      <c r="B49" s="6">
        <v>4000</v>
      </c>
      <c r="C49">
        <v>1.5456815443898699E-3</v>
      </c>
      <c r="D49">
        <f t="shared" si="6"/>
        <v>0.21875101464063804</v>
      </c>
      <c r="E49" s="6">
        <v>1423.7479558360701</v>
      </c>
      <c r="F49">
        <v>1382.44886473765</v>
      </c>
      <c r="G49">
        <f t="shared" si="7"/>
        <v>0.97099269506998664</v>
      </c>
      <c r="H49">
        <v>0.21875101464063801</v>
      </c>
    </row>
    <row r="50" spans="1:8" x14ac:dyDescent="0.3">
      <c r="A50" s="1" t="s">
        <v>33</v>
      </c>
      <c r="B50" s="6">
        <v>5000</v>
      </c>
      <c r="C50">
        <v>2.79181890473112E-3</v>
      </c>
      <c r="D50">
        <f t="shared" si="6"/>
        <v>0.39510934210184634</v>
      </c>
      <c r="E50" s="6">
        <v>1423.7479558360701</v>
      </c>
      <c r="F50" s="6">
        <v>1423.7479558360701</v>
      </c>
      <c r="G50">
        <f t="shared" si="7"/>
        <v>1</v>
      </c>
      <c r="H50">
        <v>0.39510934210184601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43"/>
  <sheetViews>
    <sheetView zoomScale="180" zoomScaleNormal="180" workbookViewId="0"/>
  </sheetViews>
  <sheetFormatPr defaultColWidth="8.3984375" defaultRowHeight="15.6" x14ac:dyDescent="0.3"/>
  <sheetData>
    <row r="1" spans="1:16" x14ac:dyDescent="0.3">
      <c r="A1" t="s">
        <v>65</v>
      </c>
      <c r="B1" t="s">
        <v>66</v>
      </c>
    </row>
    <row r="2" spans="1:16" x14ac:dyDescent="0.3">
      <c r="E2" t="s">
        <v>67</v>
      </c>
      <c r="F2" t="s">
        <v>68</v>
      </c>
      <c r="G2" t="s">
        <v>69</v>
      </c>
      <c r="J2" t="s">
        <v>70</v>
      </c>
      <c r="K2" t="s">
        <v>71</v>
      </c>
    </row>
    <row r="3" spans="1:16" x14ac:dyDescent="0.3">
      <c r="E3" t="s">
        <v>67</v>
      </c>
      <c r="F3" t="s">
        <v>72</v>
      </c>
      <c r="G3" t="s">
        <v>73</v>
      </c>
      <c r="J3" t="s">
        <v>70</v>
      </c>
      <c r="K3">
        <v>133</v>
      </c>
    </row>
    <row r="4" spans="1:16" x14ac:dyDescent="0.3">
      <c r="E4" t="s">
        <v>67</v>
      </c>
      <c r="F4" t="s">
        <v>74</v>
      </c>
      <c r="G4" t="s">
        <v>75</v>
      </c>
      <c r="M4" t="s">
        <v>70</v>
      </c>
      <c r="N4">
        <v>3</v>
      </c>
    </row>
    <row r="5" spans="1:16" x14ac:dyDescent="0.3">
      <c r="E5" t="s">
        <v>67</v>
      </c>
      <c r="F5" t="s">
        <v>76</v>
      </c>
      <c r="N5" t="s">
        <v>70</v>
      </c>
      <c r="O5">
        <v>3</v>
      </c>
    </row>
    <row r="6" spans="1:16" x14ac:dyDescent="0.3">
      <c r="E6" t="s">
        <v>77</v>
      </c>
      <c r="N6" t="s">
        <v>70</v>
      </c>
      <c r="O6" s="2">
        <v>3.0467999999999999E-8</v>
      </c>
    </row>
    <row r="7" spans="1:16" x14ac:dyDescent="0.3">
      <c r="E7" t="s">
        <v>78</v>
      </c>
      <c r="F7" t="s">
        <v>77</v>
      </c>
      <c r="G7" t="s">
        <v>70</v>
      </c>
      <c r="H7" s="2">
        <v>3.0467999999999999E-8</v>
      </c>
    </row>
    <row r="8" spans="1:16" x14ac:dyDescent="0.3">
      <c r="E8" t="s">
        <v>79</v>
      </c>
      <c r="F8" t="s">
        <v>80</v>
      </c>
      <c r="G8" t="s">
        <v>81</v>
      </c>
      <c r="J8" t="s">
        <v>70</v>
      </c>
      <c r="K8">
        <v>-49.215636400000001</v>
      </c>
    </row>
    <row r="9" spans="1:16" x14ac:dyDescent="0.3">
      <c r="E9" t="s">
        <v>82</v>
      </c>
      <c r="F9" t="s">
        <v>80</v>
      </c>
      <c r="G9" t="s">
        <v>81</v>
      </c>
      <c r="H9" t="s">
        <v>70</v>
      </c>
      <c r="I9">
        <v>-51.919799500000003</v>
      </c>
    </row>
    <row r="10" spans="1:16" x14ac:dyDescent="0.3">
      <c r="E10" t="s">
        <v>83</v>
      </c>
      <c r="O10" t="s">
        <v>70</v>
      </c>
      <c r="P10">
        <v>0.99009806</v>
      </c>
    </row>
    <row r="11" spans="1:16" x14ac:dyDescent="0.3">
      <c r="A11" t="s">
        <v>84</v>
      </c>
    </row>
    <row r="12" spans="1:16" x14ac:dyDescent="0.3">
      <c r="E12" t="s">
        <v>49</v>
      </c>
      <c r="I12" s="2">
        <v>4.7496000000000002E-9</v>
      </c>
      <c r="J12" t="s">
        <v>85</v>
      </c>
      <c r="K12" s="2">
        <v>3.0102999999999998E-6</v>
      </c>
      <c r="L12" t="s">
        <v>86</v>
      </c>
      <c r="M12" t="s">
        <v>87</v>
      </c>
      <c r="N12" t="s">
        <v>70</v>
      </c>
      <c r="O12" t="s">
        <v>88</v>
      </c>
    </row>
    <row r="13" spans="1:16" x14ac:dyDescent="0.3">
      <c r="E13" t="s">
        <v>50</v>
      </c>
      <c r="H13" s="2">
        <v>-5.1184E-6</v>
      </c>
      <c r="I13" t="s">
        <v>85</v>
      </c>
      <c r="J13">
        <v>7.5226399999999997E-3</v>
      </c>
      <c r="K13" t="s">
        <v>89</v>
      </c>
      <c r="L13" t="s">
        <v>87</v>
      </c>
      <c r="M13" t="s">
        <v>70</v>
      </c>
      <c r="N13" t="s">
        <v>90</v>
      </c>
    </row>
    <row r="14" spans="1:16" x14ac:dyDescent="0.3">
      <c r="E14" t="s">
        <v>51</v>
      </c>
      <c r="H14">
        <v>1391.3304700000001</v>
      </c>
      <c r="I14" t="s">
        <v>85</v>
      </c>
      <c r="J14">
        <v>11581410</v>
      </c>
      <c r="K14" t="s">
        <v>91</v>
      </c>
      <c r="L14" t="s">
        <v>87</v>
      </c>
      <c r="M14" t="s">
        <v>70</v>
      </c>
      <c r="N14" t="s">
        <v>92</v>
      </c>
    </row>
    <row r="15" spans="1:16" x14ac:dyDescent="0.3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</row>
    <row r="16" spans="1:16" x14ac:dyDescent="0.3">
      <c r="E16" t="s">
        <v>99</v>
      </c>
      <c r="G16" t="s">
        <v>100</v>
      </c>
      <c r="H16" t="s">
        <v>70</v>
      </c>
      <c r="I16">
        <v>1</v>
      </c>
    </row>
    <row r="17" spans="1:34" x14ac:dyDescent="0.3">
      <c r="E17" t="s">
        <v>101</v>
      </c>
      <c r="G17" t="s">
        <v>100</v>
      </c>
      <c r="H17" t="s">
        <v>70</v>
      </c>
      <c r="I17">
        <v>1</v>
      </c>
    </row>
    <row r="18" spans="1:34" x14ac:dyDescent="0.3">
      <c r="E18" t="s">
        <v>101</v>
      </c>
      <c r="G18" t="s">
        <v>102</v>
      </c>
      <c r="I18" t="s">
        <v>70</v>
      </c>
      <c r="J18">
        <v>1</v>
      </c>
    </row>
    <row r="19" spans="1:34" x14ac:dyDescent="0.3">
      <c r="A19" t="s">
        <v>103</v>
      </c>
      <c r="F19" t="s">
        <v>104</v>
      </c>
      <c r="L19" t="s">
        <v>105</v>
      </c>
      <c r="R19" t="s">
        <v>106</v>
      </c>
      <c r="U19" t="s">
        <v>107</v>
      </c>
      <c r="Z19" t="s">
        <v>108</v>
      </c>
      <c r="AE19" t="s">
        <v>109</v>
      </c>
      <c r="AF19" t="s">
        <v>110</v>
      </c>
    </row>
    <row r="20" spans="1:34" x14ac:dyDescent="0.3">
      <c r="A20" t="s">
        <v>49</v>
      </c>
      <c r="D20" s="2">
        <v>4.7500000000000003E-9</v>
      </c>
      <c r="I20" t="s">
        <v>111</v>
      </c>
      <c r="O20" t="s">
        <v>112</v>
      </c>
      <c r="P20" s="2">
        <v>3.01E-6</v>
      </c>
      <c r="U20" s="12" t="b">
        <f>TRUE()</f>
        <v>1</v>
      </c>
      <c r="Z20" t="s">
        <v>113</v>
      </c>
      <c r="AE20" t="s">
        <v>113</v>
      </c>
    </row>
    <row r="21" spans="1:34" x14ac:dyDescent="0.3">
      <c r="A21" t="s">
        <v>50</v>
      </c>
      <c r="D21" s="2">
        <v>-5.118E-6</v>
      </c>
      <c r="I21" t="s">
        <v>111</v>
      </c>
      <c r="O21" t="s">
        <v>112</v>
      </c>
      <c r="P21">
        <v>7.5230000000000002E-3</v>
      </c>
      <c r="U21" s="12" t="b">
        <f>TRUE()</f>
        <v>1</v>
      </c>
      <c r="Z21" t="s">
        <v>113</v>
      </c>
      <c r="AE21" t="s">
        <v>113</v>
      </c>
    </row>
    <row r="22" spans="1:34" x14ac:dyDescent="0.3">
      <c r="A22" t="s">
        <v>51</v>
      </c>
      <c r="G22">
        <v>1391</v>
      </c>
      <c r="L22" t="s">
        <v>111</v>
      </c>
      <c r="R22" t="s">
        <v>112</v>
      </c>
      <c r="S22" s="2">
        <v>11580000</v>
      </c>
      <c r="X22" s="12" t="b">
        <f>TRUE()</f>
        <v>1</v>
      </c>
      <c r="AC22" t="s">
        <v>113</v>
      </c>
      <c r="AH22" t="s">
        <v>113</v>
      </c>
    </row>
    <row r="23" spans="1:34" x14ac:dyDescent="0.3">
      <c r="A23" t="s">
        <v>114</v>
      </c>
      <c r="C23" t="s">
        <v>55</v>
      </c>
    </row>
    <row r="24" spans="1:34" x14ac:dyDescent="0.3">
      <c r="A24" t="s">
        <v>115</v>
      </c>
      <c r="B24" t="s">
        <v>116</v>
      </c>
      <c r="C24" t="s">
        <v>117</v>
      </c>
      <c r="D24" t="s">
        <v>118</v>
      </c>
      <c r="E24" t="s">
        <v>119</v>
      </c>
      <c r="F24" t="s">
        <v>120</v>
      </c>
      <c r="G24" t="s">
        <v>121</v>
      </c>
      <c r="H24">
        <v>3000</v>
      </c>
      <c r="I24" t="s">
        <v>122</v>
      </c>
    </row>
    <row r="25" spans="1:34" x14ac:dyDescent="0.3">
      <c r="A25" t="s">
        <v>6</v>
      </c>
      <c r="B25">
        <v>2000</v>
      </c>
    </row>
    <row r="26" spans="1:34" x14ac:dyDescent="0.3">
      <c r="A26" t="s">
        <v>123</v>
      </c>
      <c r="B26" t="s">
        <v>124</v>
      </c>
      <c r="C26">
        <v>0.78230016495008403</v>
      </c>
    </row>
    <row r="28" spans="1:34" x14ac:dyDescent="0.3">
      <c r="A28" t="s">
        <v>6</v>
      </c>
      <c r="B28">
        <v>3000</v>
      </c>
    </row>
    <row r="29" spans="1:34" x14ac:dyDescent="0.3">
      <c r="A29" t="s">
        <v>123</v>
      </c>
      <c r="B29" t="s">
        <v>124</v>
      </c>
      <c r="C29">
        <v>2.0675627294772601</v>
      </c>
    </row>
    <row r="31" spans="1:34" x14ac:dyDescent="0.3">
      <c r="A31" t="s">
        <v>6</v>
      </c>
      <c r="B31">
        <v>4000</v>
      </c>
    </row>
    <row r="32" spans="1:34" x14ac:dyDescent="0.3">
      <c r="A32" t="s">
        <v>123</v>
      </c>
      <c r="B32" t="s">
        <v>124</v>
      </c>
      <c r="C32">
        <v>3.3528252940044299</v>
      </c>
    </row>
    <row r="34" spans="1:16" x14ac:dyDescent="0.3">
      <c r="A34" t="s">
        <v>6</v>
      </c>
      <c r="B34">
        <v>5000</v>
      </c>
    </row>
    <row r="35" spans="1:16" x14ac:dyDescent="0.3">
      <c r="A35" t="s">
        <v>123</v>
      </c>
      <c r="B35" t="s">
        <v>124</v>
      </c>
      <c r="C35">
        <v>4.6380878585316099</v>
      </c>
    </row>
    <row r="37" spans="1:16" x14ac:dyDescent="0.3">
      <c r="A37" t="s">
        <v>65</v>
      </c>
      <c r="B37" t="s">
        <v>66</v>
      </c>
    </row>
    <row r="38" spans="1:16" x14ac:dyDescent="0.3">
      <c r="E38" t="s">
        <v>67</v>
      </c>
      <c r="F38" t="s">
        <v>68</v>
      </c>
      <c r="G38" t="s">
        <v>69</v>
      </c>
      <c r="J38" t="s">
        <v>70</v>
      </c>
      <c r="K38" t="s">
        <v>71</v>
      </c>
    </row>
    <row r="39" spans="1:16" x14ac:dyDescent="0.3">
      <c r="E39" t="s">
        <v>67</v>
      </c>
      <c r="F39" t="s">
        <v>72</v>
      </c>
      <c r="G39" t="s">
        <v>73</v>
      </c>
      <c r="J39" t="s">
        <v>70</v>
      </c>
      <c r="K39">
        <v>117</v>
      </c>
    </row>
    <row r="40" spans="1:16" x14ac:dyDescent="0.3">
      <c r="E40" t="s">
        <v>67</v>
      </c>
      <c r="F40" t="s">
        <v>74</v>
      </c>
      <c r="G40" t="s">
        <v>75</v>
      </c>
      <c r="M40" t="s">
        <v>70</v>
      </c>
      <c r="N40">
        <v>3</v>
      </c>
    </row>
    <row r="41" spans="1:16" x14ac:dyDescent="0.3">
      <c r="E41" t="s">
        <v>67</v>
      </c>
      <c r="F41" t="s">
        <v>76</v>
      </c>
      <c r="N41" t="s">
        <v>70</v>
      </c>
      <c r="O41">
        <v>3</v>
      </c>
    </row>
    <row r="42" spans="1:16" x14ac:dyDescent="0.3">
      <c r="E42" t="s">
        <v>77</v>
      </c>
      <c r="N42" t="s">
        <v>70</v>
      </c>
      <c r="O42" s="2">
        <v>1.8684999999999999E-9</v>
      </c>
    </row>
    <row r="43" spans="1:16" x14ac:dyDescent="0.3">
      <c r="E43" t="s">
        <v>78</v>
      </c>
      <c r="F43" t="s">
        <v>77</v>
      </c>
      <c r="G43" t="s">
        <v>70</v>
      </c>
      <c r="H43" s="2">
        <v>1.8684999999999999E-9</v>
      </c>
    </row>
    <row r="44" spans="1:16" x14ac:dyDescent="0.3">
      <c r="E44" t="s">
        <v>79</v>
      </c>
      <c r="F44" t="s">
        <v>80</v>
      </c>
      <c r="G44" t="s">
        <v>81</v>
      </c>
      <c r="J44" t="s">
        <v>70</v>
      </c>
      <c r="K44">
        <v>-57.590243200000003</v>
      </c>
    </row>
    <row r="45" spans="1:16" x14ac:dyDescent="0.3">
      <c r="E45" t="s">
        <v>82</v>
      </c>
      <c r="F45" t="s">
        <v>80</v>
      </c>
      <c r="G45" t="s">
        <v>81</v>
      </c>
      <c r="H45" t="s">
        <v>70</v>
      </c>
      <c r="I45">
        <v>-60.294406299999999</v>
      </c>
    </row>
    <row r="46" spans="1:16" x14ac:dyDescent="0.3">
      <c r="E46" t="s">
        <v>83</v>
      </c>
      <c r="O46" t="s">
        <v>70</v>
      </c>
      <c r="P46">
        <v>0.99943822000000004</v>
      </c>
    </row>
    <row r="47" spans="1:16" x14ac:dyDescent="0.3">
      <c r="A47" t="s">
        <v>84</v>
      </c>
    </row>
    <row r="48" spans="1:16" x14ac:dyDescent="0.3">
      <c r="E48" t="s">
        <v>49</v>
      </c>
      <c r="I48" s="2">
        <v>2.1026000000000002E-9</v>
      </c>
      <c r="J48" t="s">
        <v>85</v>
      </c>
      <c r="K48" s="2">
        <v>2.1512999999999999E-5</v>
      </c>
      <c r="L48" t="s">
        <v>125</v>
      </c>
      <c r="M48" t="s">
        <v>87</v>
      </c>
      <c r="N48" t="s">
        <v>70</v>
      </c>
      <c r="O48" t="s">
        <v>88</v>
      </c>
    </row>
    <row r="49" spans="1:34" x14ac:dyDescent="0.3">
      <c r="E49" t="s">
        <v>50</v>
      </c>
      <c r="H49" s="2">
        <v>-1.7892E-6</v>
      </c>
      <c r="I49" t="s">
        <v>85</v>
      </c>
      <c r="J49">
        <v>3.5313600000000001E-2</v>
      </c>
      <c r="K49" t="s">
        <v>126</v>
      </c>
      <c r="L49" t="s">
        <v>87</v>
      </c>
      <c r="M49" t="s">
        <v>70</v>
      </c>
      <c r="N49" t="s">
        <v>90</v>
      </c>
    </row>
    <row r="50" spans="1:34" x14ac:dyDescent="0.3">
      <c r="E50" t="s">
        <v>51</v>
      </c>
      <c r="H50">
        <v>1054.1425899999999</v>
      </c>
      <c r="I50" t="s">
        <v>85</v>
      </c>
      <c r="J50">
        <v>5758888.1799999997</v>
      </c>
      <c r="K50" t="s">
        <v>127</v>
      </c>
      <c r="L50" t="s">
        <v>87</v>
      </c>
      <c r="M50" t="s">
        <v>70</v>
      </c>
      <c r="N50" t="s">
        <v>92</v>
      </c>
    </row>
    <row r="51" spans="1:34" x14ac:dyDescent="0.3">
      <c r="A51" t="s">
        <v>93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</row>
    <row r="52" spans="1:34" x14ac:dyDescent="0.3">
      <c r="E52" t="s">
        <v>101</v>
      </c>
      <c r="G52" t="s">
        <v>102</v>
      </c>
      <c r="I52" t="s">
        <v>70</v>
      </c>
      <c r="J52">
        <v>-1</v>
      </c>
    </row>
    <row r="53" spans="1:34" x14ac:dyDescent="0.3">
      <c r="E53" t="s">
        <v>99</v>
      </c>
      <c r="G53" t="s">
        <v>100</v>
      </c>
      <c r="H53" t="s">
        <v>70</v>
      </c>
      <c r="I53">
        <v>1</v>
      </c>
    </row>
    <row r="54" spans="1:34" x14ac:dyDescent="0.3">
      <c r="E54" t="s">
        <v>101</v>
      </c>
      <c r="G54" t="s">
        <v>100</v>
      </c>
      <c r="H54" t="s">
        <v>70</v>
      </c>
      <c r="I54">
        <v>-1</v>
      </c>
    </row>
    <row r="55" spans="1:34" x14ac:dyDescent="0.3">
      <c r="A55" t="s">
        <v>103</v>
      </c>
      <c r="F55" t="s">
        <v>104</v>
      </c>
      <c r="L55" t="s">
        <v>105</v>
      </c>
      <c r="R55" t="s">
        <v>106</v>
      </c>
      <c r="U55" t="s">
        <v>107</v>
      </c>
      <c r="Z55" t="s">
        <v>108</v>
      </c>
      <c r="AE55" t="s">
        <v>109</v>
      </c>
      <c r="AF55" t="s">
        <v>110</v>
      </c>
    </row>
    <row r="56" spans="1:34" x14ac:dyDescent="0.3">
      <c r="A56" t="s">
        <v>49</v>
      </c>
      <c r="D56" s="2">
        <v>2.1029999999999999E-9</v>
      </c>
      <c r="I56" t="s">
        <v>111</v>
      </c>
      <c r="O56" t="s">
        <v>112</v>
      </c>
      <c r="P56" s="2">
        <v>2.1509999999999999E-5</v>
      </c>
      <c r="U56" s="12" t="b">
        <f>TRUE()</f>
        <v>1</v>
      </c>
      <c r="Z56" t="s">
        <v>113</v>
      </c>
      <c r="AE56" t="s">
        <v>113</v>
      </c>
    </row>
    <row r="57" spans="1:34" x14ac:dyDescent="0.3">
      <c r="A57" t="s">
        <v>50</v>
      </c>
      <c r="D57" s="2">
        <v>-1.7889999999999999E-6</v>
      </c>
      <c r="I57" t="s">
        <v>111</v>
      </c>
      <c r="O57" t="s">
        <v>112</v>
      </c>
      <c r="Q57">
        <v>3.5310000000000001E-2</v>
      </c>
      <c r="V57" s="12" t="b">
        <f>TRUE()</f>
        <v>1</v>
      </c>
      <c r="AA57" t="s">
        <v>113</v>
      </c>
      <c r="AF57" t="s">
        <v>113</v>
      </c>
    </row>
    <row r="58" spans="1:34" x14ac:dyDescent="0.3">
      <c r="A58" t="s">
        <v>51</v>
      </c>
      <c r="G58">
        <v>1054</v>
      </c>
      <c r="L58" t="s">
        <v>111</v>
      </c>
      <c r="R58" t="s">
        <v>112</v>
      </c>
      <c r="S58" s="2">
        <v>5759000</v>
      </c>
      <c r="X58" s="12" t="b">
        <f>TRUE()</f>
        <v>1</v>
      </c>
      <c r="AC58" t="s">
        <v>113</v>
      </c>
      <c r="AH58" t="s">
        <v>113</v>
      </c>
    </row>
    <row r="59" spans="1:34" x14ac:dyDescent="0.3">
      <c r="A59" t="s">
        <v>114</v>
      </c>
      <c r="C59" t="s">
        <v>33</v>
      </c>
    </row>
    <row r="60" spans="1:34" x14ac:dyDescent="0.3">
      <c r="A60" t="s">
        <v>115</v>
      </c>
      <c r="B60" t="s">
        <v>116</v>
      </c>
      <c r="C60" t="s">
        <v>117</v>
      </c>
      <c r="D60" t="s">
        <v>118</v>
      </c>
      <c r="E60" t="s">
        <v>119</v>
      </c>
      <c r="F60" t="s">
        <v>120</v>
      </c>
      <c r="G60" t="s">
        <v>121</v>
      </c>
      <c r="H60">
        <v>3000</v>
      </c>
      <c r="I60" t="s">
        <v>122</v>
      </c>
    </row>
    <row r="61" spans="1:34" x14ac:dyDescent="0.3">
      <c r="A61" t="s">
        <v>6</v>
      </c>
      <c r="B61">
        <v>2000</v>
      </c>
    </row>
    <row r="62" spans="1:34" x14ac:dyDescent="0.3">
      <c r="A62" t="s">
        <v>123</v>
      </c>
      <c r="B62" t="s">
        <v>124</v>
      </c>
      <c r="C62">
        <v>1.2434411137904899</v>
      </c>
    </row>
    <row r="64" spans="1:34" x14ac:dyDescent="0.3">
      <c r="A64" t="s">
        <v>6</v>
      </c>
      <c r="B64">
        <v>3000</v>
      </c>
    </row>
    <row r="65" spans="1:15" x14ac:dyDescent="0.3">
      <c r="A65" t="s">
        <v>123</v>
      </c>
      <c r="B65" t="s">
        <v>124</v>
      </c>
      <c r="C65">
        <v>2.5580590538906902</v>
      </c>
    </row>
    <row r="67" spans="1:15" x14ac:dyDescent="0.3">
      <c r="A67" t="s">
        <v>6</v>
      </c>
      <c r="B67">
        <v>4000</v>
      </c>
    </row>
    <row r="68" spans="1:15" x14ac:dyDescent="0.3">
      <c r="A68" t="s">
        <v>123</v>
      </c>
      <c r="B68" t="s">
        <v>124</v>
      </c>
      <c r="C68">
        <v>3.8726769939908898</v>
      </c>
    </row>
    <row r="70" spans="1:15" x14ac:dyDescent="0.3">
      <c r="A70" t="s">
        <v>6</v>
      </c>
      <c r="B70">
        <v>5000</v>
      </c>
    </row>
    <row r="71" spans="1:15" x14ac:dyDescent="0.3">
      <c r="A71" t="s">
        <v>123</v>
      </c>
      <c r="B71" t="s">
        <v>124</v>
      </c>
      <c r="C71">
        <v>5.1872949340910797</v>
      </c>
    </row>
    <row r="73" spans="1:15" x14ac:dyDescent="0.3">
      <c r="A73" t="s">
        <v>65</v>
      </c>
      <c r="B73" t="s">
        <v>66</v>
      </c>
    </row>
    <row r="74" spans="1:15" x14ac:dyDescent="0.3">
      <c r="E74" t="s">
        <v>67</v>
      </c>
      <c r="F74" t="s">
        <v>68</v>
      </c>
      <c r="G74" t="s">
        <v>69</v>
      </c>
      <c r="J74" t="s">
        <v>70</v>
      </c>
      <c r="K74" t="s">
        <v>71</v>
      </c>
    </row>
    <row r="75" spans="1:15" x14ac:dyDescent="0.3">
      <c r="E75" t="s">
        <v>67</v>
      </c>
      <c r="F75" t="s">
        <v>72</v>
      </c>
      <c r="G75" t="s">
        <v>73</v>
      </c>
      <c r="J75" t="s">
        <v>70</v>
      </c>
      <c r="K75">
        <v>106</v>
      </c>
    </row>
    <row r="76" spans="1:15" x14ac:dyDescent="0.3">
      <c r="E76" t="s">
        <v>67</v>
      </c>
      <c r="F76" t="s">
        <v>74</v>
      </c>
      <c r="G76" t="s">
        <v>75</v>
      </c>
      <c r="M76" t="s">
        <v>70</v>
      </c>
      <c r="N76">
        <v>3</v>
      </c>
    </row>
    <row r="77" spans="1:15" x14ac:dyDescent="0.3">
      <c r="E77" t="s">
        <v>67</v>
      </c>
      <c r="F77" t="s">
        <v>76</v>
      </c>
      <c r="N77" t="s">
        <v>70</v>
      </c>
      <c r="O77">
        <v>3</v>
      </c>
    </row>
    <row r="78" spans="1:15" x14ac:dyDescent="0.3">
      <c r="E78" t="s">
        <v>77</v>
      </c>
      <c r="N78" t="s">
        <v>70</v>
      </c>
      <c r="O78" s="2">
        <v>1.6762999999999999E-8</v>
      </c>
    </row>
    <row r="79" spans="1:15" x14ac:dyDescent="0.3">
      <c r="E79" t="s">
        <v>78</v>
      </c>
      <c r="F79" t="s">
        <v>77</v>
      </c>
      <c r="G79" t="s">
        <v>70</v>
      </c>
      <c r="H79" s="2">
        <v>1.6762999999999999E-8</v>
      </c>
    </row>
    <row r="80" spans="1:15" x14ac:dyDescent="0.3">
      <c r="E80" t="s">
        <v>79</v>
      </c>
      <c r="F80" t="s">
        <v>80</v>
      </c>
      <c r="G80" t="s">
        <v>81</v>
      </c>
      <c r="J80" t="s">
        <v>70</v>
      </c>
      <c r="K80">
        <v>-51.008103400000003</v>
      </c>
    </row>
    <row r="81" spans="1:33" x14ac:dyDescent="0.3">
      <c r="E81" t="s">
        <v>82</v>
      </c>
      <c r="F81" t="s">
        <v>80</v>
      </c>
      <c r="G81" t="s">
        <v>81</v>
      </c>
      <c r="H81" t="s">
        <v>70</v>
      </c>
      <c r="I81">
        <v>-53.712266499999998</v>
      </c>
    </row>
    <row r="82" spans="1:33" x14ac:dyDescent="0.3">
      <c r="E82" t="s">
        <v>83</v>
      </c>
      <c r="O82" t="s">
        <v>70</v>
      </c>
      <c r="P82">
        <v>0.99276850999999999</v>
      </c>
    </row>
    <row r="83" spans="1:33" x14ac:dyDescent="0.3">
      <c r="A83" t="s">
        <v>84</v>
      </c>
    </row>
    <row r="84" spans="1:33" x14ac:dyDescent="0.3">
      <c r="E84" t="s">
        <v>49</v>
      </c>
      <c r="I84" s="2">
        <v>3.0474E-9</v>
      </c>
      <c r="J84" t="s">
        <v>85</v>
      </c>
      <c r="K84" s="2">
        <v>2.3655E-5</v>
      </c>
      <c r="L84" t="s">
        <v>128</v>
      </c>
      <c r="M84" t="s">
        <v>87</v>
      </c>
      <c r="N84" t="s">
        <v>70</v>
      </c>
      <c r="O84" t="s">
        <v>88</v>
      </c>
    </row>
    <row r="85" spans="1:33" x14ac:dyDescent="0.3">
      <c r="E85" t="s">
        <v>50</v>
      </c>
      <c r="H85" s="2">
        <v>-3.2586999999999998E-6</v>
      </c>
      <c r="I85" t="s">
        <v>85</v>
      </c>
      <c r="J85">
        <v>1.7665739999999999E-2</v>
      </c>
      <c r="K85" t="s">
        <v>129</v>
      </c>
      <c r="L85" t="s">
        <v>87</v>
      </c>
      <c r="M85" t="s">
        <v>70</v>
      </c>
      <c r="N85" t="s">
        <v>90</v>
      </c>
    </row>
    <row r="86" spans="1:33" x14ac:dyDescent="0.3">
      <c r="E86" t="s">
        <v>51</v>
      </c>
      <c r="H86">
        <v>822.56812300000001</v>
      </c>
      <c r="I86" t="s">
        <v>85</v>
      </c>
      <c r="J86">
        <v>24906060.899999999</v>
      </c>
      <c r="K86" t="s">
        <v>130</v>
      </c>
      <c r="L86" t="s">
        <v>87</v>
      </c>
      <c r="M86" t="s">
        <v>70</v>
      </c>
      <c r="N86" t="s">
        <v>92</v>
      </c>
    </row>
    <row r="87" spans="1:33" x14ac:dyDescent="0.3">
      <c r="A87" t="s">
        <v>93</v>
      </c>
      <c r="B87" t="s">
        <v>94</v>
      </c>
      <c r="C87" t="s">
        <v>95</v>
      </c>
      <c r="D87" t="s">
        <v>96</v>
      </c>
      <c r="E87" t="s">
        <v>97</v>
      </c>
      <c r="F87" t="s">
        <v>98</v>
      </c>
    </row>
    <row r="88" spans="1:33" x14ac:dyDescent="0.3">
      <c r="E88" t="s">
        <v>101</v>
      </c>
      <c r="G88" t="s">
        <v>102</v>
      </c>
      <c r="I88" t="s">
        <v>70</v>
      </c>
      <c r="J88">
        <v>-1</v>
      </c>
    </row>
    <row r="89" spans="1:33" x14ac:dyDescent="0.3">
      <c r="E89" t="s">
        <v>101</v>
      </c>
      <c r="G89" t="s">
        <v>100</v>
      </c>
      <c r="H89" t="s">
        <v>70</v>
      </c>
      <c r="I89">
        <v>1</v>
      </c>
    </row>
    <row r="90" spans="1:33" x14ac:dyDescent="0.3">
      <c r="E90" t="s">
        <v>99</v>
      </c>
      <c r="G90" t="s">
        <v>100</v>
      </c>
      <c r="H90" t="s">
        <v>70</v>
      </c>
      <c r="I90">
        <v>-1</v>
      </c>
    </row>
    <row r="91" spans="1:33" x14ac:dyDescent="0.3">
      <c r="A91" t="s">
        <v>103</v>
      </c>
      <c r="F91" t="s">
        <v>104</v>
      </c>
      <c r="L91" t="s">
        <v>105</v>
      </c>
      <c r="R91" t="s">
        <v>106</v>
      </c>
      <c r="U91" t="s">
        <v>107</v>
      </c>
      <c r="Z91" t="s">
        <v>108</v>
      </c>
      <c r="AE91" t="s">
        <v>109</v>
      </c>
      <c r="AF91" t="s">
        <v>110</v>
      </c>
    </row>
    <row r="92" spans="1:33" x14ac:dyDescent="0.3">
      <c r="A92" t="s">
        <v>49</v>
      </c>
      <c r="D92" s="2">
        <v>3.0469999999999999E-9</v>
      </c>
      <c r="I92" t="s">
        <v>111</v>
      </c>
      <c r="O92" t="s">
        <v>112</v>
      </c>
      <c r="P92" s="2">
        <v>2.366E-5</v>
      </c>
      <c r="U92" s="12" t="b">
        <f>TRUE()</f>
        <v>1</v>
      </c>
      <c r="Z92" t="s">
        <v>113</v>
      </c>
      <c r="AE92" t="s">
        <v>113</v>
      </c>
    </row>
    <row r="93" spans="1:33" x14ac:dyDescent="0.3">
      <c r="A93" t="s">
        <v>50</v>
      </c>
      <c r="D93" s="2">
        <v>-3.2590000000000001E-6</v>
      </c>
      <c r="I93" t="s">
        <v>111</v>
      </c>
      <c r="O93" t="s">
        <v>112</v>
      </c>
      <c r="Q93">
        <v>1.7670000000000002E-2</v>
      </c>
      <c r="V93" s="12" t="b">
        <f>TRUE()</f>
        <v>1</v>
      </c>
      <c r="AA93" t="s">
        <v>113</v>
      </c>
      <c r="AF93" t="s">
        <v>113</v>
      </c>
    </row>
    <row r="94" spans="1:33" x14ac:dyDescent="0.3">
      <c r="A94" t="s">
        <v>51</v>
      </c>
      <c r="F94">
        <v>822.6</v>
      </c>
      <c r="K94" t="s">
        <v>111</v>
      </c>
      <c r="Q94" t="s">
        <v>112</v>
      </c>
      <c r="R94" s="2">
        <v>24910000</v>
      </c>
      <c r="W94" s="12" t="b">
        <f>TRUE()</f>
        <v>1</v>
      </c>
      <c r="AB94" t="s">
        <v>113</v>
      </c>
      <c r="AG94" t="s">
        <v>113</v>
      </c>
    </row>
    <row r="95" spans="1:33" x14ac:dyDescent="0.3">
      <c r="A95" t="s">
        <v>114</v>
      </c>
      <c r="C95" t="s">
        <v>24</v>
      </c>
    </row>
    <row r="96" spans="1:33" x14ac:dyDescent="0.3">
      <c r="A96" t="s">
        <v>115</v>
      </c>
      <c r="B96" t="s">
        <v>116</v>
      </c>
      <c r="C96" t="s">
        <v>117</v>
      </c>
      <c r="D96" t="s">
        <v>118</v>
      </c>
      <c r="E96" t="s">
        <v>119</v>
      </c>
      <c r="F96" t="s">
        <v>120</v>
      </c>
      <c r="G96" t="s">
        <v>121</v>
      </c>
      <c r="H96">
        <v>3000</v>
      </c>
      <c r="I96" t="s">
        <v>122</v>
      </c>
    </row>
    <row r="97" spans="1:14" x14ac:dyDescent="0.3">
      <c r="A97" t="s">
        <v>6</v>
      </c>
      <c r="B97">
        <v>2000</v>
      </c>
    </row>
    <row r="98" spans="1:14" x14ac:dyDescent="0.3">
      <c r="A98" t="s">
        <v>123</v>
      </c>
      <c r="B98" t="s">
        <v>124</v>
      </c>
      <c r="C98">
        <v>0.81856934683776705</v>
      </c>
    </row>
    <row r="100" spans="1:14" x14ac:dyDescent="0.3">
      <c r="A100" t="s">
        <v>6</v>
      </c>
      <c r="B100">
        <v>3000</v>
      </c>
    </row>
    <row r="101" spans="1:14" x14ac:dyDescent="0.3">
      <c r="A101" t="s">
        <v>123</v>
      </c>
      <c r="B101" t="s">
        <v>124</v>
      </c>
      <c r="C101">
        <v>1.5137852336451001</v>
      </c>
    </row>
    <row r="103" spans="1:14" x14ac:dyDescent="0.3">
      <c r="A103" t="s">
        <v>6</v>
      </c>
      <c r="B103">
        <v>4000</v>
      </c>
    </row>
    <row r="104" spans="1:14" x14ac:dyDescent="0.3">
      <c r="A104" t="s">
        <v>123</v>
      </c>
      <c r="B104" t="s">
        <v>124</v>
      </c>
      <c r="C104">
        <v>2.20900112045243</v>
      </c>
    </row>
    <row r="106" spans="1:14" x14ac:dyDescent="0.3">
      <c r="A106" t="s">
        <v>6</v>
      </c>
      <c r="B106">
        <v>5000</v>
      </c>
    </row>
    <row r="107" spans="1:14" x14ac:dyDescent="0.3">
      <c r="A107" t="s">
        <v>123</v>
      </c>
      <c r="B107" t="s">
        <v>124</v>
      </c>
      <c r="C107">
        <v>2.9042170072597702</v>
      </c>
    </row>
    <row r="109" spans="1:14" x14ac:dyDescent="0.3">
      <c r="A109" t="s">
        <v>65</v>
      </c>
      <c r="B109" t="s">
        <v>66</v>
      </c>
    </row>
    <row r="110" spans="1:14" x14ac:dyDescent="0.3">
      <c r="E110" t="s">
        <v>67</v>
      </c>
      <c r="F110" t="s">
        <v>68</v>
      </c>
      <c r="G110" t="s">
        <v>69</v>
      </c>
      <c r="J110" t="s">
        <v>70</v>
      </c>
      <c r="K110" t="s">
        <v>71</v>
      </c>
    </row>
    <row r="111" spans="1:14" x14ac:dyDescent="0.3">
      <c r="E111" t="s">
        <v>67</v>
      </c>
      <c r="F111" t="s">
        <v>72</v>
      </c>
      <c r="G111" t="s">
        <v>73</v>
      </c>
      <c r="J111" t="s">
        <v>70</v>
      </c>
      <c r="K111">
        <v>104</v>
      </c>
    </row>
    <row r="112" spans="1:14" x14ac:dyDescent="0.3">
      <c r="E112" t="s">
        <v>67</v>
      </c>
      <c r="F112" t="s">
        <v>74</v>
      </c>
      <c r="G112" t="s">
        <v>75</v>
      </c>
      <c r="M112" t="s">
        <v>70</v>
      </c>
      <c r="N112">
        <v>3</v>
      </c>
    </row>
    <row r="113" spans="1:32" x14ac:dyDescent="0.3">
      <c r="E113" t="s">
        <v>67</v>
      </c>
      <c r="F113" t="s">
        <v>76</v>
      </c>
      <c r="N113" t="s">
        <v>70</v>
      </c>
      <c r="O113">
        <v>3</v>
      </c>
    </row>
    <row r="114" spans="1:32" x14ac:dyDescent="0.3">
      <c r="E114" t="s">
        <v>77</v>
      </c>
      <c r="N114" t="s">
        <v>70</v>
      </c>
      <c r="O114" s="2">
        <v>9.7127999999999998E-9</v>
      </c>
    </row>
    <row r="115" spans="1:32" x14ac:dyDescent="0.3">
      <c r="E115" t="s">
        <v>78</v>
      </c>
      <c r="F115" t="s">
        <v>77</v>
      </c>
      <c r="G115" t="s">
        <v>70</v>
      </c>
      <c r="H115" s="2">
        <v>9.7127999999999998E-9</v>
      </c>
    </row>
    <row r="116" spans="1:32" x14ac:dyDescent="0.3">
      <c r="E116" t="s">
        <v>79</v>
      </c>
      <c r="F116" t="s">
        <v>80</v>
      </c>
      <c r="G116" t="s">
        <v>81</v>
      </c>
      <c r="J116" t="s">
        <v>70</v>
      </c>
      <c r="K116">
        <v>-52.645311999999997</v>
      </c>
    </row>
    <row r="117" spans="1:32" x14ac:dyDescent="0.3">
      <c r="E117" t="s">
        <v>82</v>
      </c>
      <c r="F117" t="s">
        <v>80</v>
      </c>
      <c r="G117" t="s">
        <v>81</v>
      </c>
      <c r="H117" t="s">
        <v>70</v>
      </c>
      <c r="I117">
        <v>-55.349475099999999</v>
      </c>
    </row>
    <row r="118" spans="1:32" x14ac:dyDescent="0.3">
      <c r="E118" t="s">
        <v>83</v>
      </c>
      <c r="O118" t="s">
        <v>70</v>
      </c>
      <c r="P118">
        <v>0.99596432000000001</v>
      </c>
    </row>
    <row r="119" spans="1:32" x14ac:dyDescent="0.3">
      <c r="A119" t="s">
        <v>84</v>
      </c>
    </row>
    <row r="120" spans="1:32" x14ac:dyDescent="0.3">
      <c r="E120" t="s">
        <v>49</v>
      </c>
      <c r="I120" s="2">
        <v>2.7762E-9</v>
      </c>
      <c r="J120" t="s">
        <v>85</v>
      </c>
      <c r="K120" s="2">
        <v>2.0259E-5</v>
      </c>
      <c r="L120" t="s">
        <v>131</v>
      </c>
      <c r="M120" t="s">
        <v>87</v>
      </c>
      <c r="N120" t="s">
        <v>70</v>
      </c>
      <c r="O120" t="s">
        <v>88</v>
      </c>
    </row>
    <row r="121" spans="1:32" x14ac:dyDescent="0.3">
      <c r="E121" t="s">
        <v>50</v>
      </c>
      <c r="H121" s="2">
        <v>-2.9538E-6</v>
      </c>
      <c r="I121" t="s">
        <v>85</v>
      </c>
      <c r="J121">
        <v>2.6869099999999998E-3</v>
      </c>
      <c r="K121" t="s">
        <v>132</v>
      </c>
      <c r="L121" t="s">
        <v>87</v>
      </c>
      <c r="M121" t="s">
        <v>70</v>
      </c>
      <c r="N121" t="s">
        <v>90</v>
      </c>
    </row>
    <row r="122" spans="1:32" x14ac:dyDescent="0.3">
      <c r="E122" t="s">
        <v>51</v>
      </c>
      <c r="H122">
        <v>791.32034899999996</v>
      </c>
      <c r="I122" t="s">
        <v>85</v>
      </c>
      <c r="J122">
        <v>43699538.100000001</v>
      </c>
      <c r="K122" t="s">
        <v>133</v>
      </c>
      <c r="L122" t="s">
        <v>87</v>
      </c>
      <c r="M122" t="s">
        <v>70</v>
      </c>
      <c r="N122" t="s">
        <v>92</v>
      </c>
    </row>
    <row r="123" spans="1:32" x14ac:dyDescent="0.3">
      <c r="A123" t="s">
        <v>93</v>
      </c>
      <c r="B123" t="s">
        <v>94</v>
      </c>
      <c r="C123" t="s">
        <v>95</v>
      </c>
      <c r="D123" t="s">
        <v>96</v>
      </c>
      <c r="E123" t="s">
        <v>97</v>
      </c>
      <c r="F123" t="s">
        <v>98</v>
      </c>
    </row>
    <row r="124" spans="1:32" x14ac:dyDescent="0.3">
      <c r="E124" t="s">
        <v>101</v>
      </c>
      <c r="G124" t="s">
        <v>100</v>
      </c>
      <c r="H124" t="s">
        <v>70</v>
      </c>
      <c r="I124">
        <v>1</v>
      </c>
    </row>
    <row r="125" spans="1:32" x14ac:dyDescent="0.3">
      <c r="E125" t="s">
        <v>101</v>
      </c>
      <c r="G125" t="s">
        <v>102</v>
      </c>
      <c r="I125" t="s">
        <v>70</v>
      </c>
      <c r="J125">
        <v>-1</v>
      </c>
    </row>
    <row r="126" spans="1:32" x14ac:dyDescent="0.3">
      <c r="E126" t="s">
        <v>99</v>
      </c>
      <c r="G126" t="s">
        <v>100</v>
      </c>
      <c r="H126" t="s">
        <v>70</v>
      </c>
      <c r="I126">
        <v>-1</v>
      </c>
    </row>
    <row r="127" spans="1:32" x14ac:dyDescent="0.3">
      <c r="A127" t="s">
        <v>103</v>
      </c>
      <c r="F127" t="s">
        <v>104</v>
      </c>
      <c r="L127" t="s">
        <v>105</v>
      </c>
      <c r="R127" t="s">
        <v>106</v>
      </c>
      <c r="U127" t="s">
        <v>107</v>
      </c>
      <c r="Z127" t="s">
        <v>108</v>
      </c>
      <c r="AE127" t="s">
        <v>109</v>
      </c>
      <c r="AF127" t="s">
        <v>110</v>
      </c>
    </row>
    <row r="128" spans="1:32" x14ac:dyDescent="0.3">
      <c r="A128" t="s">
        <v>49</v>
      </c>
      <c r="D128" s="2">
        <v>2.7759999999999999E-9</v>
      </c>
      <c r="I128" t="s">
        <v>111</v>
      </c>
      <c r="O128" t="s">
        <v>112</v>
      </c>
      <c r="P128" s="2">
        <v>2.0259999999999999E-5</v>
      </c>
      <c r="U128" s="12" t="b">
        <f>TRUE()</f>
        <v>1</v>
      </c>
      <c r="Z128" t="s">
        <v>113</v>
      </c>
      <c r="AE128" t="s">
        <v>113</v>
      </c>
    </row>
    <row r="129" spans="1:33" x14ac:dyDescent="0.3">
      <c r="A129" t="s">
        <v>50</v>
      </c>
      <c r="D129" s="2">
        <v>-2.954E-6</v>
      </c>
      <c r="I129" t="s">
        <v>111</v>
      </c>
      <c r="O129" t="s">
        <v>112</v>
      </c>
      <c r="P129">
        <v>2.6870000000000002E-3</v>
      </c>
      <c r="U129" s="12" t="b">
        <f>TRUE()</f>
        <v>1</v>
      </c>
      <c r="Z129" t="s">
        <v>113</v>
      </c>
      <c r="AE129" t="s">
        <v>113</v>
      </c>
    </row>
    <row r="130" spans="1:33" x14ac:dyDescent="0.3">
      <c r="A130" t="s">
        <v>51</v>
      </c>
      <c r="F130">
        <v>791.3</v>
      </c>
      <c r="K130" t="s">
        <v>111</v>
      </c>
      <c r="Q130" t="s">
        <v>112</v>
      </c>
      <c r="R130" s="2">
        <v>43700000</v>
      </c>
      <c r="W130" s="12" t="b">
        <f>TRUE()</f>
        <v>1</v>
      </c>
      <c r="AB130" t="s">
        <v>113</v>
      </c>
      <c r="AG130" t="s">
        <v>113</v>
      </c>
    </row>
    <row r="131" spans="1:33" x14ac:dyDescent="0.3">
      <c r="A131" t="s">
        <v>114</v>
      </c>
      <c r="C131" t="s">
        <v>28</v>
      </c>
    </row>
    <row r="132" spans="1:33" x14ac:dyDescent="0.3">
      <c r="A132" t="s">
        <v>115</v>
      </c>
      <c r="B132" t="s">
        <v>116</v>
      </c>
      <c r="C132" t="s">
        <v>117</v>
      </c>
      <c r="D132" t="s">
        <v>118</v>
      </c>
      <c r="E132" t="s">
        <v>119</v>
      </c>
      <c r="F132" t="s">
        <v>120</v>
      </c>
      <c r="G132" t="s">
        <v>121</v>
      </c>
      <c r="H132">
        <v>3000</v>
      </c>
      <c r="I132" t="s">
        <v>122</v>
      </c>
    </row>
    <row r="133" spans="1:33" x14ac:dyDescent="0.3">
      <c r="A133" t="s">
        <v>6</v>
      </c>
      <c r="B133">
        <v>2000</v>
      </c>
    </row>
    <row r="134" spans="1:33" x14ac:dyDescent="0.3">
      <c r="A134" t="s">
        <v>123</v>
      </c>
      <c r="B134" t="s">
        <v>124</v>
      </c>
      <c r="C134">
        <v>0.92184310496819599</v>
      </c>
    </row>
    <row r="136" spans="1:33" x14ac:dyDescent="0.3">
      <c r="A136" t="s">
        <v>6</v>
      </c>
      <c r="B136">
        <v>3000</v>
      </c>
    </row>
    <row r="137" spans="1:33" x14ac:dyDescent="0.3">
      <c r="A137" t="s">
        <v>123</v>
      </c>
      <c r="B137" t="s">
        <v>124</v>
      </c>
      <c r="C137">
        <v>1.68452915189201</v>
      </c>
    </row>
    <row r="139" spans="1:33" x14ac:dyDescent="0.3">
      <c r="A139" t="s">
        <v>6</v>
      </c>
      <c r="B139">
        <v>4000</v>
      </c>
    </row>
    <row r="140" spans="1:33" x14ac:dyDescent="0.3">
      <c r="A140" t="s">
        <v>123</v>
      </c>
      <c r="B140" t="s">
        <v>124</v>
      </c>
      <c r="C140">
        <v>2.4472151988158299</v>
      </c>
    </row>
    <row r="142" spans="1:33" x14ac:dyDescent="0.3">
      <c r="A142" t="s">
        <v>6</v>
      </c>
      <c r="B142">
        <v>5000</v>
      </c>
    </row>
    <row r="143" spans="1:33" x14ac:dyDescent="0.3">
      <c r="A143" t="s">
        <v>123</v>
      </c>
      <c r="B143" t="s">
        <v>124</v>
      </c>
      <c r="C143">
        <v>3.2099012457396499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110869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de_cp_with_5000K_new_data</vt:lpstr>
      <vt:lpstr>finalized_data</vt:lpstr>
      <vt:lpstr>cv_el_for_fitting1</vt:lpstr>
      <vt:lpstr>cv_el_for_fittting</vt:lpstr>
      <vt:lpstr>Cv_el_reproduction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郑栋昊</cp:lastModifiedBy>
  <cp:revision>141</cp:revision>
  <dcterms:created xsi:type="dcterms:W3CDTF">2019-04-03T01:22:30Z</dcterms:created>
  <dcterms:modified xsi:type="dcterms:W3CDTF">2023-08-07T02:49:07Z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