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edeng/Google Drive/papers/paper10_oxidation/"/>
    </mc:Choice>
  </mc:AlternateContent>
  <xr:revisionPtr revIDLastSave="0" documentId="13_ncr:1_{6FCF5A22-6FC0-474D-8E0C-6BBC0D4C397A}" xr6:coauthVersionLast="36" xr6:coauthVersionMax="36" xr10:uidLastSave="{00000000-0000-0000-0000-000000000000}"/>
  <bookViews>
    <workbookView xWindow="580" yWindow="460" windowWidth="25520" windowHeight="15540" tabRatio="813" xr2:uid="{00000000-000D-0000-FFFF-FFFF00000000}"/>
  </bookViews>
  <sheets>
    <sheet name="melt_25" sheetId="1" r:id="rId1"/>
    <sheet name="melt3_12p5" sheetId="2" r:id="rId2"/>
    <sheet name="fitted" sheetId="3" r:id="rId3"/>
    <sheet name="PV" sheetId="4" r:id="rId4"/>
    <sheet name="melt6_FeO" sheetId="5" r:id="rId5"/>
    <sheet name="melt7_FeO1.5" sheetId="6" r:id="rId6"/>
    <sheet name="geotherm" sheetId="7" r:id="rId7"/>
    <sheet name="melt4_6p25" sheetId="8" r:id="rId8"/>
    <sheet name="tools" sheetId="9" r:id="rId9"/>
  </sheets>
  <definedNames>
    <definedName name="_GoBack" localSheetId="4">melt6_FeO!#REF!</definedName>
  </definedNames>
  <calcPr calcId="181029"/>
</workbook>
</file>

<file path=xl/calcChain.xml><?xml version="1.0" encoding="utf-8"?>
<calcChain xmlns="http://schemas.openxmlformats.org/spreadsheetml/2006/main">
  <c r="T127" i="8" l="1"/>
  <c r="R127" i="8"/>
  <c r="Q127" i="8"/>
  <c r="P127" i="8"/>
  <c r="O127" i="8"/>
  <c r="N127" i="8"/>
  <c r="J127" i="8"/>
  <c r="G127" i="8" s="1"/>
  <c r="M127" i="8" s="1"/>
  <c r="T125" i="8"/>
  <c r="R125" i="8"/>
  <c r="Q125" i="8"/>
  <c r="P125" i="8"/>
  <c r="O125" i="8"/>
  <c r="N125" i="8"/>
  <c r="J125" i="8"/>
  <c r="G125" i="8" s="1"/>
  <c r="M125" i="8" s="1"/>
  <c r="T123" i="8"/>
  <c r="R123" i="8"/>
  <c r="Q123" i="8"/>
  <c r="P123" i="8"/>
  <c r="O123" i="8"/>
  <c r="N123" i="8"/>
  <c r="M123" i="8"/>
  <c r="J123" i="8"/>
  <c r="G123" i="8"/>
  <c r="J119" i="8"/>
  <c r="G119" i="8"/>
  <c r="T117" i="8"/>
  <c r="R117" i="8"/>
  <c r="Q117" i="8"/>
  <c r="P117" i="8"/>
  <c r="O117" i="8"/>
  <c r="N117" i="8"/>
  <c r="J117" i="8"/>
  <c r="G117" i="8" s="1"/>
  <c r="M117" i="8" s="1"/>
  <c r="T115" i="8"/>
  <c r="R115" i="8"/>
  <c r="Q115" i="8"/>
  <c r="P115" i="8"/>
  <c r="O115" i="8"/>
  <c r="N115" i="8"/>
  <c r="M115" i="8"/>
  <c r="J115" i="8"/>
  <c r="G115" i="8"/>
  <c r="T113" i="8"/>
  <c r="R113" i="8"/>
  <c r="Q113" i="8"/>
  <c r="P113" i="8"/>
  <c r="O113" i="8"/>
  <c r="N113" i="8"/>
  <c r="J113" i="8"/>
  <c r="G113" i="8"/>
  <c r="M113" i="8" s="1"/>
  <c r="T111" i="8"/>
  <c r="R111" i="8"/>
  <c r="Q111" i="8"/>
  <c r="P111" i="8"/>
  <c r="O111" i="8"/>
  <c r="N111" i="8"/>
  <c r="J111" i="8"/>
  <c r="G111" i="8"/>
  <c r="M111" i="8" s="1"/>
  <c r="T104" i="8"/>
  <c r="R104" i="8"/>
  <c r="Q104" i="8"/>
  <c r="P104" i="8"/>
  <c r="O104" i="8"/>
  <c r="N104" i="8"/>
  <c r="J104" i="8" a="1"/>
  <c r="J104" i="8" s="1"/>
  <c r="G104" i="8" s="1"/>
  <c r="M104" i="8" s="1"/>
  <c r="T102" i="8"/>
  <c r="R102" i="8"/>
  <c r="Q102" i="8"/>
  <c r="P102" i="8"/>
  <c r="O102" i="8"/>
  <c r="N102" i="8"/>
  <c r="J102" i="8"/>
  <c r="G102" i="8"/>
  <c r="M102" i="8" s="1"/>
  <c r="T100" i="8"/>
  <c r="R100" i="8"/>
  <c r="Q100" i="8"/>
  <c r="P100" i="8"/>
  <c r="O100" i="8"/>
  <c r="N100" i="8"/>
  <c r="J100" i="8" a="1"/>
  <c r="J100" i="8"/>
  <c r="G100" i="8" s="1"/>
  <c r="M100" i="8" s="1"/>
  <c r="T98" i="8"/>
  <c r="R98" i="8"/>
  <c r="Q98" i="8"/>
  <c r="P98" i="8"/>
  <c r="O98" i="8"/>
  <c r="N98" i="8"/>
  <c r="M98" i="8"/>
  <c r="J98" i="8"/>
  <c r="G98" i="8"/>
  <c r="T96" i="8"/>
  <c r="R96" i="8"/>
  <c r="Q96" i="8"/>
  <c r="P96" i="8"/>
  <c r="O96" i="8"/>
  <c r="N96" i="8"/>
  <c r="J96" i="8"/>
  <c r="G96" i="8"/>
  <c r="M96" i="8" s="1"/>
  <c r="T94" i="8"/>
  <c r="R94" i="8"/>
  <c r="Q94" i="8"/>
  <c r="P94" i="8"/>
  <c r="O94" i="8"/>
  <c r="N94" i="8"/>
  <c r="J94" i="8"/>
  <c r="G94" i="8"/>
  <c r="M94" i="8" s="1"/>
  <c r="T92" i="8"/>
  <c r="R92" i="8"/>
  <c r="Q92" i="8"/>
  <c r="P92" i="8"/>
  <c r="O92" i="8"/>
  <c r="N92" i="8"/>
  <c r="J92" i="8"/>
  <c r="G92" i="8" s="1"/>
  <c r="M92" i="8" s="1"/>
  <c r="J90" i="8"/>
  <c r="G90" i="8"/>
  <c r="O89" i="8"/>
  <c r="O88" i="8"/>
  <c r="T87" i="8"/>
  <c r="R87" i="8"/>
  <c r="Q87" i="8"/>
  <c r="P87" i="8"/>
  <c r="O87" i="8"/>
  <c r="N87" i="8"/>
  <c r="M87" i="8"/>
  <c r="J87" i="8"/>
  <c r="G87" i="8"/>
  <c r="T85" i="8"/>
  <c r="R85" i="8"/>
  <c r="Q85" i="8"/>
  <c r="P85" i="8"/>
  <c r="O85" i="8"/>
  <c r="N85" i="8"/>
  <c r="J85" i="8" a="1"/>
  <c r="J85" i="8"/>
  <c r="G85" i="8" s="1"/>
  <c r="M85" i="8" s="1"/>
  <c r="T83" i="8"/>
  <c r="R83" i="8"/>
  <c r="Q83" i="8"/>
  <c r="P83" i="8"/>
  <c r="O83" i="8"/>
  <c r="N83" i="8"/>
  <c r="J83" i="8"/>
  <c r="G83" i="8" s="1"/>
  <c r="M83" i="8" s="1"/>
  <c r="T81" i="8"/>
  <c r="R81" i="8"/>
  <c r="Q81" i="8"/>
  <c r="P81" i="8"/>
  <c r="O81" i="8"/>
  <c r="N81" i="8"/>
  <c r="M81" i="8"/>
  <c r="J81" i="8"/>
  <c r="G81" i="8"/>
  <c r="T79" i="8"/>
  <c r="R79" i="8"/>
  <c r="Q79" i="8"/>
  <c r="P79" i="8"/>
  <c r="O79" i="8"/>
  <c r="N79" i="8"/>
  <c r="J79" i="8"/>
  <c r="G79" i="8"/>
  <c r="M79" i="8" s="1"/>
  <c r="T77" i="8"/>
  <c r="R77" i="8"/>
  <c r="Q77" i="8"/>
  <c r="P77" i="8"/>
  <c r="O77" i="8"/>
  <c r="N77" i="8"/>
  <c r="J77" i="8"/>
  <c r="G77" i="8" s="1"/>
  <c r="M77" i="8" s="1"/>
  <c r="T75" i="8"/>
  <c r="R75" i="8"/>
  <c r="Q75" i="8"/>
  <c r="P75" i="8"/>
  <c r="O75" i="8"/>
  <c r="N75" i="8"/>
  <c r="T73" i="8"/>
  <c r="R73" i="8"/>
  <c r="Q73" i="8"/>
  <c r="P73" i="8"/>
  <c r="O73" i="8"/>
  <c r="N73" i="8"/>
  <c r="J73" i="8"/>
  <c r="G73" i="8"/>
  <c r="M73" i="8" s="1"/>
  <c r="J71" i="8"/>
  <c r="G71" i="8" s="1"/>
  <c r="O68" i="8"/>
  <c r="N68" i="8"/>
  <c r="J68" i="8"/>
  <c r="F68" i="8"/>
  <c r="G69" i="8" s="1"/>
  <c r="T63" i="8"/>
  <c r="R63" i="8"/>
  <c r="Q63" i="8"/>
  <c r="P63" i="8"/>
  <c r="O63" i="8"/>
  <c r="N63" i="8"/>
  <c r="M63" i="8"/>
  <c r="J63" i="8"/>
  <c r="G63" i="8" s="1"/>
  <c r="T61" i="8"/>
  <c r="R61" i="8"/>
  <c r="Q61" i="8"/>
  <c r="P61" i="8"/>
  <c r="O61" i="8"/>
  <c r="N61" i="8"/>
  <c r="J61" i="8"/>
  <c r="G61" i="8" s="1"/>
  <c r="M61" i="8" s="1"/>
  <c r="T59" i="8"/>
  <c r="R59" i="8"/>
  <c r="Q59" i="8"/>
  <c r="P59" i="8"/>
  <c r="O59" i="8"/>
  <c r="N59" i="8"/>
  <c r="J59" i="8"/>
  <c r="G59" i="8"/>
  <c r="M59" i="8" s="1"/>
  <c r="J56" i="8"/>
  <c r="G56" i="8" s="1"/>
  <c r="T54" i="8"/>
  <c r="R54" i="8"/>
  <c r="Q54" i="8"/>
  <c r="P54" i="8"/>
  <c r="O54" i="8"/>
  <c r="N54" i="8"/>
  <c r="J54" i="8"/>
  <c r="G54" i="8" s="1"/>
  <c r="M54" i="8" s="1"/>
  <c r="T52" i="8"/>
  <c r="R52" i="8"/>
  <c r="Q52" i="8"/>
  <c r="P52" i="8"/>
  <c r="O52" i="8"/>
  <c r="N52" i="8"/>
  <c r="J52" i="8"/>
  <c r="G52" i="8"/>
  <c r="M52" i="8" s="1"/>
  <c r="T50" i="8"/>
  <c r="R50" i="8"/>
  <c r="Q50" i="8"/>
  <c r="P50" i="8"/>
  <c r="O50" i="8"/>
  <c r="N50" i="8"/>
  <c r="J50" i="8"/>
  <c r="G50" i="8" s="1"/>
  <c r="M50" i="8" s="1"/>
  <c r="T48" i="8"/>
  <c r="R48" i="8"/>
  <c r="Q48" i="8"/>
  <c r="P48" i="8"/>
  <c r="O48" i="8"/>
  <c r="N48" i="8"/>
  <c r="M48" i="8"/>
  <c r="J48" i="8"/>
  <c r="G48" i="8" s="1"/>
  <c r="T45" i="8"/>
  <c r="R45" i="8"/>
  <c r="Q45" i="8"/>
  <c r="P45" i="8"/>
  <c r="O45" i="8"/>
  <c r="N45" i="8"/>
  <c r="J45" i="8"/>
  <c r="G45" i="8" s="1"/>
  <c r="M45" i="8" s="1"/>
  <c r="J43" i="8"/>
  <c r="G43" i="8" s="1"/>
  <c r="T41" i="8"/>
  <c r="R41" i="8"/>
  <c r="Q41" i="8"/>
  <c r="P41" i="8"/>
  <c r="O41" i="8"/>
  <c r="N41" i="8"/>
  <c r="M41" i="8"/>
  <c r="J41" i="8"/>
  <c r="G41" i="8"/>
  <c r="T39" i="8"/>
  <c r="R39" i="8"/>
  <c r="Q39" i="8"/>
  <c r="P39" i="8"/>
  <c r="O39" i="8"/>
  <c r="N39" i="8"/>
  <c r="J39" i="8"/>
  <c r="G39" i="8" s="1"/>
  <c r="M39" i="8" s="1"/>
  <c r="T37" i="8"/>
  <c r="R37" i="8"/>
  <c r="Q37" i="8"/>
  <c r="P37" i="8"/>
  <c r="O37" i="8"/>
  <c r="N37" i="8"/>
  <c r="J37" i="8"/>
  <c r="G37" i="8"/>
  <c r="M37" i="8" s="1"/>
  <c r="T35" i="8"/>
  <c r="R35" i="8"/>
  <c r="Q35" i="8"/>
  <c r="P35" i="8"/>
  <c r="O35" i="8"/>
  <c r="N35" i="8"/>
  <c r="J35" i="8"/>
  <c r="G35" i="8" s="1"/>
  <c r="M35" i="8" s="1"/>
  <c r="T33" i="8"/>
  <c r="R33" i="8"/>
  <c r="Q33" i="8"/>
  <c r="P33" i="8"/>
  <c r="O33" i="8"/>
  <c r="N33" i="8"/>
  <c r="M33" i="8"/>
  <c r="J33" i="8"/>
  <c r="G33" i="8"/>
  <c r="T31" i="8"/>
  <c r="R31" i="8"/>
  <c r="Q31" i="8"/>
  <c r="P31" i="8"/>
  <c r="O31" i="8"/>
  <c r="N31" i="8"/>
  <c r="J31" i="8"/>
  <c r="J75" i="8" s="1"/>
  <c r="G75" i="8" s="1"/>
  <c r="M75" i="8" s="1"/>
  <c r="T29" i="8"/>
  <c r="R29" i="8"/>
  <c r="Q29" i="8"/>
  <c r="P29" i="8"/>
  <c r="O29" i="8"/>
  <c r="N29" i="8"/>
  <c r="J29" i="8"/>
  <c r="G29" i="8"/>
  <c r="M29" i="8" s="1"/>
  <c r="O27" i="8"/>
  <c r="J27" i="8"/>
  <c r="G27" i="8" s="1"/>
  <c r="J22" i="8"/>
  <c r="G22" i="8" s="1"/>
  <c r="O21" i="8"/>
  <c r="T20" i="8"/>
  <c r="R20" i="8"/>
  <c r="Q20" i="8"/>
  <c r="P20" i="8"/>
  <c r="O20" i="8"/>
  <c r="N20" i="8"/>
  <c r="J20" i="8"/>
  <c r="G20" i="8" s="1"/>
  <c r="M20" i="8" s="1"/>
  <c r="T18" i="8"/>
  <c r="R18" i="8"/>
  <c r="Q18" i="8"/>
  <c r="P18" i="8"/>
  <c r="O18" i="8"/>
  <c r="N18" i="8"/>
  <c r="J18" i="8" a="1"/>
  <c r="J18" i="8"/>
  <c r="G18" i="8" s="1"/>
  <c r="M18" i="8" s="1"/>
  <c r="T16" i="8"/>
  <c r="R16" i="8"/>
  <c r="Q16" i="8"/>
  <c r="P16" i="8"/>
  <c r="O16" i="8"/>
  <c r="N16" i="8"/>
  <c r="M16" i="8"/>
  <c r="J16" i="8"/>
  <c r="G16" i="8"/>
  <c r="J14" i="8"/>
  <c r="G14" i="8"/>
  <c r="T12" i="8"/>
  <c r="R12" i="8"/>
  <c r="Q12" i="8"/>
  <c r="P12" i="8"/>
  <c r="O12" i="8"/>
  <c r="N12" i="8"/>
  <c r="J12" i="8"/>
  <c r="G12" i="8" s="1"/>
  <c r="M12" i="8" s="1"/>
  <c r="T10" i="8"/>
  <c r="R10" i="8"/>
  <c r="Q10" i="8"/>
  <c r="P10" i="8"/>
  <c r="O10" i="8"/>
  <c r="N10" i="8"/>
  <c r="M10" i="8"/>
  <c r="J10" i="8"/>
  <c r="G10" i="8" s="1"/>
  <c r="T8" i="8"/>
  <c r="R8" i="8"/>
  <c r="Q8" i="8"/>
  <c r="P8" i="8"/>
  <c r="O8" i="8"/>
  <c r="N8" i="8"/>
  <c r="J8" i="8"/>
  <c r="G8" i="8"/>
  <c r="M8" i="8" s="1"/>
  <c r="T6" i="8"/>
  <c r="R6" i="8"/>
  <c r="Q6" i="8"/>
  <c r="P6" i="8"/>
  <c r="O6" i="8"/>
  <c r="N6" i="8"/>
  <c r="J6" i="8"/>
  <c r="G6" i="8"/>
  <c r="M6" i="8" s="1"/>
  <c r="Q3" i="8"/>
  <c r="P3" i="8"/>
  <c r="O3" i="8"/>
  <c r="N3" i="8"/>
  <c r="F3" i="8"/>
  <c r="G4" i="8" s="1"/>
  <c r="T46" i="6"/>
  <c r="R46" i="6"/>
  <c r="Q46" i="6"/>
  <c r="P46" i="6"/>
  <c r="O46" i="6"/>
  <c r="N46" i="6"/>
  <c r="M46" i="6"/>
  <c r="J46" i="6"/>
  <c r="G46" i="6"/>
  <c r="T44" i="6"/>
  <c r="R44" i="6"/>
  <c r="Q44" i="6"/>
  <c r="P44" i="6"/>
  <c r="O44" i="6"/>
  <c r="N44" i="6"/>
  <c r="J44" i="6"/>
  <c r="G44" i="6"/>
  <c r="M44" i="6" s="1"/>
  <c r="T42" i="6"/>
  <c r="R42" i="6"/>
  <c r="Q42" i="6"/>
  <c r="P42" i="6"/>
  <c r="O42" i="6"/>
  <c r="N42" i="6"/>
  <c r="M42" i="6"/>
  <c r="J42" i="6"/>
  <c r="G42" i="6" s="1"/>
  <c r="T40" i="6"/>
  <c r="R40" i="6"/>
  <c r="Q40" i="6"/>
  <c r="P40" i="6"/>
  <c r="O40" i="6"/>
  <c r="N40" i="6"/>
  <c r="M40" i="6"/>
  <c r="J40" i="6"/>
  <c r="G40" i="6"/>
  <c r="T38" i="6"/>
  <c r="R38" i="6"/>
  <c r="Q38" i="6"/>
  <c r="P38" i="6"/>
  <c r="O38" i="6"/>
  <c r="N38" i="6"/>
  <c r="M38" i="6"/>
  <c r="J38" i="6"/>
  <c r="G38" i="6"/>
  <c r="J36" i="6"/>
  <c r="G36" i="6" s="1"/>
  <c r="T34" i="6"/>
  <c r="R34" i="6"/>
  <c r="Q34" i="6"/>
  <c r="P34" i="6"/>
  <c r="O34" i="6"/>
  <c r="N34" i="6"/>
  <c r="M34" i="6"/>
  <c r="J34" i="6"/>
  <c r="G34" i="6"/>
  <c r="R32" i="6"/>
  <c r="Q32" i="6"/>
  <c r="P32" i="6"/>
  <c r="O32" i="6"/>
  <c r="N32" i="6"/>
  <c r="C65" i="5" s="1"/>
  <c r="J32" i="6"/>
  <c r="G32" i="6" s="1"/>
  <c r="M32" i="6" s="1"/>
  <c r="T26" i="6"/>
  <c r="R26" i="6"/>
  <c r="Q26" i="6"/>
  <c r="P26" i="6"/>
  <c r="O26" i="6"/>
  <c r="N26" i="6"/>
  <c r="J26" i="6"/>
  <c r="G26" i="6"/>
  <c r="M26" i="6" s="1"/>
  <c r="T24" i="6"/>
  <c r="R24" i="6"/>
  <c r="Q24" i="6"/>
  <c r="P24" i="6"/>
  <c r="O24" i="6"/>
  <c r="N24" i="6"/>
  <c r="J24" i="6"/>
  <c r="G24" i="6"/>
  <c r="M24" i="6" s="1"/>
  <c r="T22" i="6"/>
  <c r="R22" i="6"/>
  <c r="Q22" i="6"/>
  <c r="P22" i="6"/>
  <c r="O22" i="6"/>
  <c r="N22" i="6"/>
  <c r="J22" i="6"/>
  <c r="G22" i="6" s="1"/>
  <c r="M22" i="6" s="1"/>
  <c r="T20" i="6"/>
  <c r="R20" i="6"/>
  <c r="Q20" i="6"/>
  <c r="P20" i="6"/>
  <c r="O20" i="6"/>
  <c r="N20" i="6"/>
  <c r="J20" i="6"/>
  <c r="G20" i="6" s="1"/>
  <c r="M20" i="6" s="1"/>
  <c r="T18" i="6"/>
  <c r="R18" i="6"/>
  <c r="Q18" i="6"/>
  <c r="P18" i="6"/>
  <c r="O18" i="6"/>
  <c r="N18" i="6"/>
  <c r="J18" i="6"/>
  <c r="G18" i="6"/>
  <c r="M18" i="6" s="1"/>
  <c r="T16" i="6"/>
  <c r="R16" i="6"/>
  <c r="Q16" i="6"/>
  <c r="P16" i="6"/>
  <c r="O16" i="6"/>
  <c r="N16" i="6"/>
  <c r="J16" i="6"/>
  <c r="G16" i="6"/>
  <c r="M16" i="6" s="1"/>
  <c r="J14" i="6"/>
  <c r="G14" i="6" s="1"/>
  <c r="T12" i="6"/>
  <c r="R12" i="6"/>
  <c r="Q12" i="6"/>
  <c r="P12" i="6"/>
  <c r="O12" i="6"/>
  <c r="N12" i="6"/>
  <c r="J12" i="6"/>
  <c r="G12" i="6"/>
  <c r="M12" i="6" s="1"/>
  <c r="T10" i="6"/>
  <c r="R10" i="6"/>
  <c r="Q10" i="6"/>
  <c r="P10" i="6"/>
  <c r="O10" i="6"/>
  <c r="N10" i="6"/>
  <c r="J10" i="6"/>
  <c r="G10" i="6"/>
  <c r="M10" i="6" s="1"/>
  <c r="T8" i="6"/>
  <c r="R8" i="6"/>
  <c r="Q8" i="6"/>
  <c r="P8" i="6"/>
  <c r="O8" i="6"/>
  <c r="N8" i="6"/>
  <c r="J8" i="6"/>
  <c r="G8" i="6" s="1"/>
  <c r="M8" i="6" s="1"/>
  <c r="G4" i="6"/>
  <c r="L3" i="6" s="1"/>
  <c r="O3" i="6"/>
  <c r="N3" i="6"/>
  <c r="K3" i="6"/>
  <c r="J3" i="6"/>
  <c r="F71" i="5"/>
  <c r="F72" i="5" s="1"/>
  <c r="F73" i="5" s="1"/>
  <c r="E71" i="5"/>
  <c r="E72" i="5" s="1"/>
  <c r="E73" i="5" s="1"/>
  <c r="G70" i="5"/>
  <c r="F70" i="5"/>
  <c r="E70" i="5"/>
  <c r="D70" i="5"/>
  <c r="C70" i="5"/>
  <c r="B70" i="5"/>
  <c r="C66" i="5"/>
  <c r="B66" i="5"/>
  <c r="C64" i="5"/>
  <c r="B64" i="5"/>
  <c r="T54" i="5"/>
  <c r="R54" i="5"/>
  <c r="Q54" i="5"/>
  <c r="P54" i="5"/>
  <c r="O54" i="5"/>
  <c r="N54" i="5"/>
  <c r="J54" i="5"/>
  <c r="G54" i="5" s="1"/>
  <c r="M54" i="5" s="1"/>
  <c r="T52" i="5"/>
  <c r="R52" i="5"/>
  <c r="Q52" i="5"/>
  <c r="P52" i="5"/>
  <c r="O52" i="5"/>
  <c r="N52" i="5"/>
  <c r="M52" i="5"/>
  <c r="J52" i="5"/>
  <c r="G52" i="5"/>
  <c r="T50" i="5"/>
  <c r="R50" i="5"/>
  <c r="Q50" i="5"/>
  <c r="P50" i="5"/>
  <c r="N50" i="5"/>
  <c r="J50" i="5"/>
  <c r="G50" i="5"/>
  <c r="M50" i="5" s="1"/>
  <c r="D50" i="5"/>
  <c r="O50" i="5" s="1"/>
  <c r="T48" i="5"/>
  <c r="R48" i="5"/>
  <c r="Q48" i="5"/>
  <c r="P48" i="5"/>
  <c r="O48" i="5"/>
  <c r="N48" i="5"/>
  <c r="B65" i="5" s="1"/>
  <c r="M48" i="5"/>
  <c r="J48" i="5"/>
  <c r="G48" i="5" s="1"/>
  <c r="J44" i="5"/>
  <c r="G44" i="5"/>
  <c r="D44" i="5"/>
  <c r="T42" i="5"/>
  <c r="R42" i="5"/>
  <c r="Q42" i="5"/>
  <c r="P42" i="5"/>
  <c r="N42" i="5"/>
  <c r="J42" i="5"/>
  <c r="G42" i="5" s="1"/>
  <c r="M42" i="5" s="1"/>
  <c r="D42" i="5"/>
  <c r="O42" i="5" s="1"/>
  <c r="T40" i="5"/>
  <c r="R40" i="5"/>
  <c r="Q40" i="5"/>
  <c r="P40" i="5"/>
  <c r="N40" i="5"/>
  <c r="J40" i="5"/>
  <c r="G40" i="5"/>
  <c r="M40" i="5" s="1"/>
  <c r="D40" i="5"/>
  <c r="O40" i="5" s="1"/>
  <c r="T38" i="5"/>
  <c r="R38" i="5"/>
  <c r="Q38" i="5"/>
  <c r="P38" i="5"/>
  <c r="O38" i="5"/>
  <c r="N38" i="5"/>
  <c r="J38" i="5"/>
  <c r="G38" i="5" s="1"/>
  <c r="M38" i="5" s="1"/>
  <c r="T36" i="5"/>
  <c r="R36" i="5"/>
  <c r="Q36" i="5"/>
  <c r="P36" i="5"/>
  <c r="O36" i="5"/>
  <c r="N36" i="5"/>
  <c r="M36" i="5"/>
  <c r="J36" i="5"/>
  <c r="G36" i="5"/>
  <c r="T32" i="5"/>
  <c r="R32" i="5"/>
  <c r="Q32" i="5"/>
  <c r="P32" i="5"/>
  <c r="O32" i="5"/>
  <c r="N32" i="5"/>
  <c r="J32" i="5"/>
  <c r="G32" i="5"/>
  <c r="M32" i="5" s="1"/>
  <c r="T30" i="5"/>
  <c r="R30" i="5"/>
  <c r="Q30" i="5"/>
  <c r="P30" i="5"/>
  <c r="O30" i="5"/>
  <c r="N30" i="5"/>
  <c r="J30" i="5"/>
  <c r="G30" i="5" s="1"/>
  <c r="M30" i="5" s="1"/>
  <c r="T28" i="5"/>
  <c r="R28" i="5"/>
  <c r="Q28" i="5"/>
  <c r="P28" i="5"/>
  <c r="O28" i="5"/>
  <c r="N28" i="5"/>
  <c r="M28" i="5"/>
  <c r="J28" i="5"/>
  <c r="G28" i="5" s="1"/>
  <c r="T26" i="5"/>
  <c r="R26" i="5"/>
  <c r="Q26" i="5"/>
  <c r="P26" i="5"/>
  <c r="O26" i="5"/>
  <c r="N26" i="5"/>
  <c r="M26" i="5"/>
  <c r="J26" i="5"/>
  <c r="G26" i="5"/>
  <c r="P24" i="5"/>
  <c r="O24" i="5"/>
  <c r="N24" i="5"/>
  <c r="J24" i="5"/>
  <c r="G24" i="5"/>
  <c r="M24" i="5" s="1"/>
  <c r="T18" i="5"/>
  <c r="R18" i="5"/>
  <c r="Q18" i="5"/>
  <c r="P18" i="5"/>
  <c r="O18" i="5"/>
  <c r="N18" i="5"/>
  <c r="J18" i="5"/>
  <c r="G18" i="5" s="1"/>
  <c r="M18" i="5" s="1"/>
  <c r="T16" i="5"/>
  <c r="R16" i="5"/>
  <c r="Q16" i="5"/>
  <c r="P16" i="5"/>
  <c r="O16" i="5"/>
  <c r="N16" i="5"/>
  <c r="M16" i="5"/>
  <c r="J16" i="5"/>
  <c r="G16" i="5"/>
  <c r="T14" i="5"/>
  <c r="R14" i="5"/>
  <c r="Q14" i="5"/>
  <c r="P14" i="5"/>
  <c r="O14" i="5"/>
  <c r="N14" i="5"/>
  <c r="J14" i="5"/>
  <c r="G14" i="5"/>
  <c r="M14" i="5" s="1"/>
  <c r="T12" i="5"/>
  <c r="R12" i="5"/>
  <c r="Q12" i="5"/>
  <c r="P12" i="5"/>
  <c r="O12" i="5"/>
  <c r="N12" i="5"/>
  <c r="J12" i="5"/>
  <c r="G12" i="5"/>
  <c r="M12" i="5" s="1"/>
  <c r="T10" i="5"/>
  <c r="R10" i="5"/>
  <c r="Q10" i="5"/>
  <c r="P10" i="5"/>
  <c r="O10" i="5"/>
  <c r="N10" i="5"/>
  <c r="J10" i="5"/>
  <c r="G10" i="5" s="1"/>
  <c r="M10" i="5" s="1"/>
  <c r="T8" i="5"/>
  <c r="R8" i="5"/>
  <c r="Q8" i="5"/>
  <c r="P8" i="5"/>
  <c r="O8" i="5"/>
  <c r="N8" i="5"/>
  <c r="M8" i="5"/>
  <c r="J8" i="5"/>
  <c r="G8" i="5"/>
  <c r="J6" i="5"/>
  <c r="G6" i="5"/>
  <c r="G4" i="5"/>
  <c r="E6" i="5" s="1"/>
  <c r="O3" i="5"/>
  <c r="N3" i="5"/>
  <c r="K3" i="5"/>
  <c r="J3" i="5"/>
  <c r="R90" i="3"/>
  <c r="Q90" i="3"/>
  <c r="P90" i="3"/>
  <c r="O90" i="3"/>
  <c r="N90" i="3"/>
  <c r="M90" i="3"/>
  <c r="L90" i="3"/>
  <c r="K90" i="3"/>
  <c r="R89" i="3"/>
  <c r="Q89" i="3"/>
  <c r="P89" i="3"/>
  <c r="O89" i="3"/>
  <c r="N89" i="3"/>
  <c r="M89" i="3"/>
  <c r="L89" i="3"/>
  <c r="K89" i="3"/>
  <c r="E57" i="3"/>
  <c r="E56" i="3"/>
  <c r="E49" i="3"/>
  <c r="I30" i="3"/>
  <c r="I29" i="3"/>
  <c r="J28" i="3"/>
  <c r="L28" i="3" s="1"/>
  <c r="J27" i="3"/>
  <c r="M28" i="3" s="1"/>
  <c r="J24" i="3"/>
  <c r="O23" i="3"/>
  <c r="J22" i="3"/>
  <c r="L22" i="3" s="1"/>
  <c r="J21" i="3"/>
  <c r="M22" i="3" s="1"/>
  <c r="O20" i="3"/>
  <c r="J18" i="3"/>
  <c r="O17" i="3"/>
  <c r="I16" i="3"/>
  <c r="I15" i="3"/>
  <c r="J16" i="3" s="1"/>
  <c r="K16" i="3" s="1"/>
  <c r="I12" i="3"/>
  <c r="J12" i="3" s="1"/>
  <c r="I11" i="3"/>
  <c r="J11" i="3" s="1"/>
  <c r="I9" i="3"/>
  <c r="I8" i="3"/>
  <c r="T137" i="2"/>
  <c r="R137" i="2"/>
  <c r="Q137" i="2"/>
  <c r="P137" i="2"/>
  <c r="O137" i="2"/>
  <c r="N137" i="2"/>
  <c r="J137" i="2"/>
  <c r="G137" i="2"/>
  <c r="M137" i="2" s="1"/>
  <c r="T135" i="2"/>
  <c r="R135" i="2"/>
  <c r="Q135" i="2"/>
  <c r="P135" i="2"/>
  <c r="O135" i="2"/>
  <c r="N135" i="2"/>
  <c r="J135" i="2"/>
  <c r="G135" i="2"/>
  <c r="M135" i="2" s="1"/>
  <c r="D135" i="2"/>
  <c r="T133" i="2"/>
  <c r="R133" i="2"/>
  <c r="Q133" i="2"/>
  <c r="P133" i="2"/>
  <c r="O133" i="2"/>
  <c r="N133" i="2"/>
  <c r="M133" i="2"/>
  <c r="J133" i="2"/>
  <c r="G133" i="2"/>
  <c r="T129" i="2"/>
  <c r="R129" i="2"/>
  <c r="Q129" i="2"/>
  <c r="P129" i="2"/>
  <c r="O129" i="2"/>
  <c r="N129" i="2"/>
  <c r="J129" i="2"/>
  <c r="G129" i="2"/>
  <c r="M129" i="2" s="1"/>
  <c r="J127" i="2"/>
  <c r="G127" i="2" s="1"/>
  <c r="T125" i="2"/>
  <c r="R125" i="2"/>
  <c r="Q125" i="2"/>
  <c r="P125" i="2"/>
  <c r="O125" i="2"/>
  <c r="N125" i="2"/>
  <c r="M125" i="2"/>
  <c r="J125" i="2"/>
  <c r="G125" i="2"/>
  <c r="T123" i="2"/>
  <c r="R123" i="2"/>
  <c r="Q123" i="2"/>
  <c r="P123" i="2"/>
  <c r="O123" i="2"/>
  <c r="N123" i="2"/>
  <c r="J123" i="2"/>
  <c r="G123" i="2"/>
  <c r="M123" i="2" s="1"/>
  <c r="T121" i="2"/>
  <c r="R121" i="2"/>
  <c r="Q121" i="2"/>
  <c r="P121" i="2"/>
  <c r="O121" i="2"/>
  <c r="N121" i="2"/>
  <c r="J121" i="2"/>
  <c r="G121" i="2"/>
  <c r="M121" i="2" s="1"/>
  <c r="J119" i="2"/>
  <c r="G119" i="2"/>
  <c r="T115" i="2"/>
  <c r="R115" i="2"/>
  <c r="Q115" i="2"/>
  <c r="P115" i="2"/>
  <c r="O115" i="2"/>
  <c r="N115" i="2"/>
  <c r="J115" i="2"/>
  <c r="G115" i="2"/>
  <c r="M115" i="2" s="1"/>
  <c r="T111" i="2"/>
  <c r="R111" i="2"/>
  <c r="Q111" i="2"/>
  <c r="P111" i="2"/>
  <c r="O111" i="2"/>
  <c r="N111" i="2"/>
  <c r="J111" i="2"/>
  <c r="G111" i="2"/>
  <c r="M111" i="2" s="1"/>
  <c r="T109" i="2"/>
  <c r="R109" i="2"/>
  <c r="Q109" i="2"/>
  <c r="P109" i="2"/>
  <c r="O109" i="2"/>
  <c r="N109" i="2"/>
  <c r="J109" i="2"/>
  <c r="G109" i="2" s="1"/>
  <c r="M109" i="2" s="1"/>
  <c r="T107" i="2"/>
  <c r="R107" i="2"/>
  <c r="Q107" i="2"/>
  <c r="P107" i="2"/>
  <c r="O107" i="2"/>
  <c r="N107" i="2"/>
  <c r="M107" i="2"/>
  <c r="J107" i="2"/>
  <c r="G107" i="2"/>
  <c r="T105" i="2"/>
  <c r="R105" i="2"/>
  <c r="Q105" i="2"/>
  <c r="P105" i="2"/>
  <c r="O105" i="2"/>
  <c r="N105" i="2"/>
  <c r="J105" i="2"/>
  <c r="G105" i="2"/>
  <c r="M105" i="2" s="1"/>
  <c r="T103" i="2"/>
  <c r="R103" i="2"/>
  <c r="Q103" i="2"/>
  <c r="P103" i="2"/>
  <c r="O103" i="2"/>
  <c r="N103" i="2"/>
  <c r="J103" i="2"/>
  <c r="G103" i="2"/>
  <c r="M103" i="2" s="1"/>
  <c r="T101" i="2"/>
  <c r="R101" i="2"/>
  <c r="Q101" i="2"/>
  <c r="P101" i="2"/>
  <c r="O101" i="2"/>
  <c r="N101" i="2"/>
  <c r="J101" i="2"/>
  <c r="G101" i="2" s="1"/>
  <c r="M101" i="2" s="1"/>
  <c r="T99" i="2"/>
  <c r="R99" i="2"/>
  <c r="Q99" i="2"/>
  <c r="P99" i="2"/>
  <c r="O99" i="2"/>
  <c r="N99" i="2"/>
  <c r="M99" i="2"/>
  <c r="J99" i="2"/>
  <c r="G99" i="2"/>
  <c r="J97" i="2"/>
  <c r="G97" i="2"/>
  <c r="T95" i="2"/>
  <c r="R95" i="2"/>
  <c r="Q95" i="2"/>
  <c r="P95" i="2"/>
  <c r="O95" i="2"/>
  <c r="N95" i="2"/>
  <c r="J95" i="2"/>
  <c r="G95" i="2" s="1"/>
  <c r="M95" i="2" s="1"/>
  <c r="T93" i="2"/>
  <c r="R93" i="2"/>
  <c r="Q93" i="2"/>
  <c r="P93" i="2"/>
  <c r="O93" i="2"/>
  <c r="N93" i="2"/>
  <c r="M93" i="2"/>
  <c r="J93" i="2"/>
  <c r="G93" i="2"/>
  <c r="T89" i="2"/>
  <c r="R89" i="2"/>
  <c r="Q89" i="2"/>
  <c r="P89" i="2"/>
  <c r="O89" i="2"/>
  <c r="N89" i="2"/>
  <c r="J89" i="2"/>
  <c r="G89" i="2"/>
  <c r="M89" i="2" s="1"/>
  <c r="T87" i="2"/>
  <c r="R87" i="2"/>
  <c r="Q87" i="2"/>
  <c r="P87" i="2"/>
  <c r="O87" i="2"/>
  <c r="N87" i="2"/>
  <c r="J87" i="2"/>
  <c r="G87" i="2"/>
  <c r="M87" i="2" s="1"/>
  <c r="T85" i="2"/>
  <c r="R85" i="2"/>
  <c r="Q85" i="2"/>
  <c r="P85" i="2"/>
  <c r="O85" i="2"/>
  <c r="N85" i="2"/>
  <c r="J85" i="2"/>
  <c r="G85" i="2" s="1"/>
  <c r="M85" i="2" s="1"/>
  <c r="T83" i="2"/>
  <c r="R83" i="2"/>
  <c r="Q83" i="2"/>
  <c r="P83" i="2"/>
  <c r="O83" i="2"/>
  <c r="N83" i="2"/>
  <c r="M83" i="2"/>
  <c r="J83" i="2"/>
  <c r="G83" i="2"/>
  <c r="O82" i="2"/>
  <c r="P81" i="2"/>
  <c r="O81" i="2"/>
  <c r="N81" i="2"/>
  <c r="J81" i="2"/>
  <c r="G81" i="2"/>
  <c r="T79" i="2"/>
  <c r="R79" i="2"/>
  <c r="Q79" i="2"/>
  <c r="P79" i="2"/>
  <c r="O79" i="2"/>
  <c r="N79" i="2"/>
  <c r="J79" i="2"/>
  <c r="G79" i="2" s="1"/>
  <c r="M79" i="2" s="1"/>
  <c r="T77" i="2"/>
  <c r="R77" i="2"/>
  <c r="Q77" i="2"/>
  <c r="P77" i="2"/>
  <c r="O77" i="2"/>
  <c r="N77" i="2"/>
  <c r="M77" i="2"/>
  <c r="J77" i="2"/>
  <c r="G77" i="2"/>
  <c r="E77" i="2"/>
  <c r="E74" i="2"/>
  <c r="K73" i="2" s="1"/>
  <c r="J73" i="2"/>
  <c r="H73" i="2"/>
  <c r="T69" i="2"/>
  <c r="R69" i="2"/>
  <c r="Q69" i="2"/>
  <c r="P69" i="2"/>
  <c r="O69" i="2"/>
  <c r="N69" i="2"/>
  <c r="J69" i="2"/>
  <c r="G69" i="2"/>
  <c r="M69" i="2" s="1"/>
  <c r="T67" i="2"/>
  <c r="R67" i="2"/>
  <c r="Q67" i="2"/>
  <c r="P67" i="2"/>
  <c r="O67" i="2"/>
  <c r="N67" i="2"/>
  <c r="J67" i="2"/>
  <c r="G67" i="2" s="1"/>
  <c r="M67" i="2" s="1"/>
  <c r="T65" i="2"/>
  <c r="R65" i="2"/>
  <c r="Q65" i="2"/>
  <c r="P65" i="2"/>
  <c r="O65" i="2"/>
  <c r="N65" i="2"/>
  <c r="M65" i="2"/>
  <c r="J65" i="2"/>
  <c r="G65" i="2"/>
  <c r="T63" i="2"/>
  <c r="R63" i="2"/>
  <c r="Q63" i="2"/>
  <c r="P63" i="2"/>
  <c r="O63" i="2"/>
  <c r="N63" i="2"/>
  <c r="J63" i="2"/>
  <c r="G63" i="2"/>
  <c r="M63" i="2" s="1"/>
  <c r="T61" i="2"/>
  <c r="R61" i="2"/>
  <c r="Q61" i="2"/>
  <c r="P61" i="2"/>
  <c r="O61" i="2"/>
  <c r="N61" i="2"/>
  <c r="J61" i="2"/>
  <c r="G61" i="2"/>
  <c r="M61" i="2" s="1"/>
  <c r="T58" i="2"/>
  <c r="R58" i="2"/>
  <c r="Q58" i="2"/>
  <c r="P58" i="2"/>
  <c r="O58" i="2"/>
  <c r="N58" i="2"/>
  <c r="J58" i="2"/>
  <c r="G58" i="2" s="1"/>
  <c r="M58" i="2" s="1"/>
  <c r="T56" i="2"/>
  <c r="R56" i="2"/>
  <c r="Q56" i="2"/>
  <c r="P56" i="2"/>
  <c r="O56" i="2"/>
  <c r="N56" i="2"/>
  <c r="M56" i="2"/>
  <c r="J56" i="2"/>
  <c r="G56" i="2"/>
  <c r="T54" i="2"/>
  <c r="R54" i="2"/>
  <c r="Q54" i="2"/>
  <c r="P54" i="2"/>
  <c r="O54" i="2"/>
  <c r="N54" i="2"/>
  <c r="J54" i="2"/>
  <c r="G54" i="2"/>
  <c r="M54" i="2" s="1"/>
  <c r="J52" i="2" a="1"/>
  <c r="J52" i="2" s="1"/>
  <c r="G52" i="2" s="1"/>
  <c r="T50" i="2"/>
  <c r="R50" i="2"/>
  <c r="Q50" i="2"/>
  <c r="P50" i="2"/>
  <c r="O50" i="2"/>
  <c r="N50" i="2"/>
  <c r="J50" i="2"/>
  <c r="G50" i="2"/>
  <c r="M50" i="2" s="1"/>
  <c r="T48" i="2"/>
  <c r="R48" i="2"/>
  <c r="Q48" i="2"/>
  <c r="P48" i="2"/>
  <c r="O48" i="2"/>
  <c r="N48" i="2"/>
  <c r="J48" i="2"/>
  <c r="G48" i="2"/>
  <c r="M48" i="2" s="1"/>
  <c r="T46" i="2"/>
  <c r="R46" i="2"/>
  <c r="Q46" i="2"/>
  <c r="P46" i="2"/>
  <c r="O46" i="2"/>
  <c r="N46" i="2"/>
  <c r="J46" i="2"/>
  <c r="G46" i="2" s="1"/>
  <c r="M46" i="2" s="1"/>
  <c r="T44" i="2"/>
  <c r="R44" i="2"/>
  <c r="Q44" i="2"/>
  <c r="P44" i="2"/>
  <c r="O44" i="2"/>
  <c r="N44" i="2"/>
  <c r="M44" i="2"/>
  <c r="J44" i="2"/>
  <c r="G44" i="2"/>
  <c r="T42" i="2"/>
  <c r="R42" i="2"/>
  <c r="Q42" i="2"/>
  <c r="P42" i="2"/>
  <c r="O42" i="2"/>
  <c r="N42" i="2"/>
  <c r="J42" i="2"/>
  <c r="G42" i="2"/>
  <c r="M42" i="2" s="1"/>
  <c r="T40" i="2"/>
  <c r="R40" i="2"/>
  <c r="Q40" i="2"/>
  <c r="P40" i="2"/>
  <c r="O40" i="2"/>
  <c r="N40" i="2"/>
  <c r="J40" i="2"/>
  <c r="G40" i="2"/>
  <c r="M40" i="2" s="1"/>
  <c r="J36" i="2"/>
  <c r="G36" i="2"/>
  <c r="T34" i="2"/>
  <c r="R34" i="2"/>
  <c r="Q34" i="2"/>
  <c r="P34" i="2"/>
  <c r="O34" i="2"/>
  <c r="N34" i="2"/>
  <c r="J34" i="2"/>
  <c r="G34" i="2"/>
  <c r="M34" i="2" s="1"/>
  <c r="J30" i="2"/>
  <c r="G30" i="2" s="1"/>
  <c r="J28" i="2"/>
  <c r="G28" i="2"/>
  <c r="T24" i="2"/>
  <c r="R24" i="2"/>
  <c r="Q24" i="2"/>
  <c r="P24" i="2"/>
  <c r="O24" i="2"/>
  <c r="N24" i="2"/>
  <c r="J24" i="2"/>
  <c r="G24" i="2"/>
  <c r="M24" i="2" s="1"/>
  <c r="T22" i="2"/>
  <c r="R22" i="2"/>
  <c r="Q22" i="2"/>
  <c r="P22" i="2"/>
  <c r="O22" i="2"/>
  <c r="N22" i="2"/>
  <c r="J22" i="2"/>
  <c r="G22" i="2" s="1"/>
  <c r="M22" i="2" s="1"/>
  <c r="O19" i="2"/>
  <c r="P18" i="2"/>
  <c r="O18" i="2"/>
  <c r="N18" i="2"/>
  <c r="J18" i="2"/>
  <c r="G18" i="2"/>
  <c r="E18" i="2"/>
  <c r="T16" i="2"/>
  <c r="R16" i="2"/>
  <c r="Q16" i="2"/>
  <c r="P16" i="2"/>
  <c r="O16" i="2"/>
  <c r="N16" i="2"/>
  <c r="J16" i="2"/>
  <c r="G16" i="2" s="1"/>
  <c r="M16" i="2" s="1"/>
  <c r="E16" i="2"/>
  <c r="T14" i="2"/>
  <c r="R14" i="2"/>
  <c r="Q14" i="2"/>
  <c r="P14" i="2"/>
  <c r="O14" i="2"/>
  <c r="N14" i="2"/>
  <c r="J14" i="2"/>
  <c r="G14" i="2"/>
  <c r="M14" i="2" s="1"/>
  <c r="E14" i="2"/>
  <c r="T12" i="2"/>
  <c r="R12" i="2"/>
  <c r="Q12" i="2"/>
  <c r="P12" i="2"/>
  <c r="O12" i="2"/>
  <c r="N12" i="2"/>
  <c r="M12" i="2"/>
  <c r="J12" i="2"/>
  <c r="G12" i="2" s="1"/>
  <c r="E12" i="2"/>
  <c r="T10" i="2"/>
  <c r="R10" i="2"/>
  <c r="Q10" i="2"/>
  <c r="P10" i="2"/>
  <c r="O10" i="2"/>
  <c r="N10" i="2"/>
  <c r="J10" i="2"/>
  <c r="G10" i="2"/>
  <c r="M10" i="2" s="1"/>
  <c r="E10" i="2"/>
  <c r="T8" i="2"/>
  <c r="R8" i="2"/>
  <c r="Q8" i="2"/>
  <c r="P8" i="2"/>
  <c r="O8" i="2"/>
  <c r="N8" i="2"/>
  <c r="J8" i="2"/>
  <c r="G8" i="2" s="1"/>
  <c r="M8" i="2" s="1"/>
  <c r="E8" i="2"/>
  <c r="T6" i="2"/>
  <c r="R6" i="2"/>
  <c r="Q6" i="2"/>
  <c r="P6" i="2"/>
  <c r="O6" i="2"/>
  <c r="N6" i="2"/>
  <c r="J6" i="2"/>
  <c r="G6" i="2"/>
  <c r="M6" i="2" s="1"/>
  <c r="E6" i="2"/>
  <c r="G4" i="2"/>
  <c r="Q3" i="2"/>
  <c r="P3" i="2"/>
  <c r="O3" i="2"/>
  <c r="N3" i="2"/>
  <c r="M3" i="2"/>
  <c r="L3" i="2"/>
  <c r="K3" i="2"/>
  <c r="J3" i="2"/>
  <c r="J121" i="1"/>
  <c r="G121" i="1"/>
  <c r="E121" i="1"/>
  <c r="K118" i="1"/>
  <c r="J118" i="1"/>
  <c r="F118" i="1"/>
  <c r="E118" i="1"/>
  <c r="G119" i="1" s="1"/>
  <c r="T97" i="1"/>
  <c r="R97" i="1"/>
  <c r="Q97" i="1"/>
  <c r="P97" i="1"/>
  <c r="O97" i="1"/>
  <c r="N97" i="1"/>
  <c r="J97" i="1"/>
  <c r="G97" i="1"/>
  <c r="M97" i="1" s="1"/>
  <c r="T95" i="1"/>
  <c r="R95" i="1"/>
  <c r="Q95" i="1"/>
  <c r="P95" i="1"/>
  <c r="O95" i="1"/>
  <c r="N95" i="1"/>
  <c r="J95" i="1"/>
  <c r="G95" i="1"/>
  <c r="M95" i="1" s="1"/>
  <c r="T93" i="1"/>
  <c r="R93" i="1"/>
  <c r="Q93" i="1"/>
  <c r="P93" i="1"/>
  <c r="O93" i="1"/>
  <c r="N93" i="1"/>
  <c r="J93" i="1"/>
  <c r="G93" i="1" s="1"/>
  <c r="M93" i="1" s="1"/>
  <c r="T89" i="1"/>
  <c r="R89" i="1"/>
  <c r="Q89" i="1"/>
  <c r="P89" i="1"/>
  <c r="O89" i="1"/>
  <c r="N89" i="1"/>
  <c r="J89" i="1"/>
  <c r="G89" i="1"/>
  <c r="M89" i="1" s="1"/>
  <c r="T87" i="1"/>
  <c r="R87" i="1"/>
  <c r="Q87" i="1"/>
  <c r="P87" i="1"/>
  <c r="O87" i="1"/>
  <c r="N87" i="1"/>
  <c r="J87" i="1"/>
  <c r="G87" i="1" s="1"/>
  <c r="M87" i="1" s="1"/>
  <c r="T85" i="1"/>
  <c r="R85" i="1"/>
  <c r="Q85" i="1"/>
  <c r="P85" i="1"/>
  <c r="N85" i="1"/>
  <c r="M85" i="1"/>
  <c r="J85" i="1"/>
  <c r="G85" i="1"/>
  <c r="D85" i="1"/>
  <c r="O85" i="1" s="1"/>
  <c r="T83" i="1"/>
  <c r="R83" i="1"/>
  <c r="Q83" i="1"/>
  <c r="P83" i="1"/>
  <c r="O83" i="1"/>
  <c r="N83" i="1"/>
  <c r="J83" i="1"/>
  <c r="G83" i="1"/>
  <c r="M83" i="1" s="1"/>
  <c r="D83" i="1"/>
  <c r="T81" i="1"/>
  <c r="R81" i="1"/>
  <c r="Q81" i="1"/>
  <c r="P81" i="1"/>
  <c r="N81" i="1"/>
  <c r="M81" i="1"/>
  <c r="J81" i="1"/>
  <c r="G81" i="1"/>
  <c r="D81" i="1"/>
  <c r="O81" i="1" s="1"/>
  <c r="O80" i="1"/>
  <c r="P79" i="1"/>
  <c r="O79" i="1"/>
  <c r="N79" i="1"/>
  <c r="M79" i="1"/>
  <c r="P78" i="1"/>
  <c r="O78" i="1"/>
  <c r="N78" i="1"/>
  <c r="M78" i="1"/>
  <c r="P77" i="1"/>
  <c r="O77" i="1"/>
  <c r="N77" i="1"/>
  <c r="M77" i="1"/>
  <c r="P76" i="1"/>
  <c r="O76" i="1"/>
  <c r="N76" i="1"/>
  <c r="M76" i="1"/>
  <c r="P75" i="1"/>
  <c r="O75" i="1"/>
  <c r="N75" i="1"/>
  <c r="M75" i="1"/>
  <c r="P74" i="1"/>
  <c r="O74" i="1"/>
  <c r="N74" i="1"/>
  <c r="M74" i="1"/>
  <c r="P73" i="1"/>
  <c r="O73" i="1"/>
  <c r="N73" i="1"/>
  <c r="M73" i="1"/>
  <c r="P72" i="1"/>
  <c r="O72" i="1"/>
  <c r="N72" i="1"/>
  <c r="M72" i="1"/>
  <c r="P71" i="1"/>
  <c r="O71" i="1"/>
  <c r="N71" i="1"/>
  <c r="M71" i="1"/>
  <c r="P70" i="1"/>
  <c r="O70" i="1"/>
  <c r="N70" i="1"/>
  <c r="M70" i="1"/>
  <c r="P69" i="1"/>
  <c r="O69" i="1"/>
  <c r="N69" i="1"/>
  <c r="M69" i="1"/>
  <c r="P68" i="1"/>
  <c r="O68" i="1"/>
  <c r="N68" i="1"/>
  <c r="M68" i="1"/>
  <c r="P67" i="1"/>
  <c r="O67" i="1"/>
  <c r="N67" i="1"/>
  <c r="M67" i="1"/>
  <c r="P66" i="1"/>
  <c r="O66" i="1"/>
  <c r="N66" i="1"/>
  <c r="M66" i="1"/>
  <c r="G64" i="1"/>
  <c r="M63" i="1"/>
  <c r="L63" i="1"/>
  <c r="K63" i="1"/>
  <c r="J63" i="1"/>
  <c r="T53" i="1"/>
  <c r="R53" i="1"/>
  <c r="Q53" i="1"/>
  <c r="P53" i="1"/>
  <c r="O53" i="1"/>
  <c r="N53" i="1"/>
  <c r="M53" i="1"/>
  <c r="J53" i="1"/>
  <c r="G53" i="1"/>
  <c r="T51" i="1"/>
  <c r="R51" i="1"/>
  <c r="Q51" i="1"/>
  <c r="P51" i="1"/>
  <c r="O51" i="1"/>
  <c r="N51" i="1"/>
  <c r="J51" i="1"/>
  <c r="G51" i="1"/>
  <c r="M51" i="1" s="1"/>
  <c r="T49" i="1"/>
  <c r="R49" i="1"/>
  <c r="Q49" i="1"/>
  <c r="P49" i="1"/>
  <c r="O49" i="1"/>
  <c r="N49" i="1"/>
  <c r="J49" i="1"/>
  <c r="G49" i="1"/>
  <c r="M49" i="1" s="1"/>
  <c r="T45" i="1"/>
  <c r="R45" i="1"/>
  <c r="Q45" i="1"/>
  <c r="P45" i="1"/>
  <c r="O45" i="1"/>
  <c r="N45" i="1"/>
  <c r="J45" i="1"/>
  <c r="G45" i="1" s="1"/>
  <c r="M45" i="1" s="1"/>
  <c r="T43" i="1"/>
  <c r="R43" i="1"/>
  <c r="Q43" i="1"/>
  <c r="P43" i="1"/>
  <c r="O43" i="1"/>
  <c r="N43" i="1"/>
  <c r="M43" i="1"/>
  <c r="J43" i="1"/>
  <c r="G43" i="1"/>
  <c r="T41" i="1"/>
  <c r="R41" i="1"/>
  <c r="Q41" i="1"/>
  <c r="P41" i="1"/>
  <c r="O41" i="1"/>
  <c r="N41" i="1"/>
  <c r="J41" i="1"/>
  <c r="G41" i="1"/>
  <c r="M41" i="1" s="1"/>
  <c r="T37" i="1"/>
  <c r="R37" i="1"/>
  <c r="Q37" i="1"/>
  <c r="P37" i="1"/>
  <c r="O37" i="1"/>
  <c r="N37" i="1"/>
  <c r="J37" i="1"/>
  <c r="G37" i="1"/>
  <c r="M37" i="1" s="1"/>
  <c r="D37" i="1"/>
  <c r="T35" i="1"/>
  <c r="R35" i="1"/>
  <c r="Q35" i="1"/>
  <c r="P35" i="1"/>
  <c r="N35" i="1"/>
  <c r="M35" i="1"/>
  <c r="J35" i="1"/>
  <c r="G35" i="1"/>
  <c r="D35" i="1"/>
  <c r="O35" i="1" s="1"/>
  <c r="T33" i="1"/>
  <c r="R33" i="1"/>
  <c r="Q33" i="1"/>
  <c r="P33" i="1"/>
  <c r="O33" i="1"/>
  <c r="N33" i="1"/>
  <c r="J33" i="1"/>
  <c r="G33" i="1"/>
  <c r="M33" i="1" s="1"/>
  <c r="D33" i="1"/>
  <c r="T31" i="1"/>
  <c r="R31" i="1"/>
  <c r="Q31" i="1"/>
  <c r="P31" i="1"/>
  <c r="O31" i="1"/>
  <c r="N31" i="1"/>
  <c r="M31" i="1"/>
  <c r="J31" i="1"/>
  <c r="G31" i="1"/>
  <c r="T29" i="1"/>
  <c r="R29" i="1"/>
  <c r="Q29" i="1"/>
  <c r="P29" i="1"/>
  <c r="O29" i="1"/>
  <c r="N29" i="1"/>
  <c r="J29" i="1"/>
  <c r="G29" i="1"/>
  <c r="M29" i="1" s="1"/>
  <c r="O28" i="1"/>
  <c r="T27" i="1"/>
  <c r="R27" i="1"/>
  <c r="Q27" i="1"/>
  <c r="P27" i="1"/>
  <c r="O27" i="1"/>
  <c r="N27" i="1"/>
  <c r="J27" i="1"/>
  <c r="G27" i="1" s="1"/>
  <c r="M27" i="1" s="1"/>
  <c r="T25" i="1"/>
  <c r="R25" i="1"/>
  <c r="Q25" i="1"/>
  <c r="P25" i="1"/>
  <c r="O25" i="1"/>
  <c r="N25" i="1"/>
  <c r="M25" i="1"/>
  <c r="J25" i="1"/>
  <c r="G25" i="1"/>
  <c r="T23" i="1"/>
  <c r="R23" i="1"/>
  <c r="Q23" i="1"/>
  <c r="P23" i="1"/>
  <c r="O23" i="1"/>
  <c r="N23" i="1"/>
  <c r="J23" i="1"/>
  <c r="G23" i="1"/>
  <c r="M23" i="1" s="1"/>
  <c r="T21" i="1"/>
  <c r="R21" i="1"/>
  <c r="Q21" i="1"/>
  <c r="P21" i="1"/>
  <c r="O21" i="1"/>
  <c r="N21" i="1"/>
  <c r="J21" i="1"/>
  <c r="G21" i="1"/>
  <c r="M21" i="1" s="1"/>
  <c r="T19" i="1"/>
  <c r="R19" i="1"/>
  <c r="Q19" i="1"/>
  <c r="P19" i="1"/>
  <c r="O19" i="1"/>
  <c r="N19" i="1"/>
  <c r="J19" i="1"/>
  <c r="G19" i="1" s="1"/>
  <c r="M19" i="1" s="1"/>
  <c r="T17" i="1"/>
  <c r="R17" i="1"/>
  <c r="Q17" i="1"/>
  <c r="P17" i="1"/>
  <c r="O17" i="1"/>
  <c r="N17" i="1"/>
  <c r="M17" i="1"/>
  <c r="J17" i="1"/>
  <c r="G17" i="1"/>
  <c r="T15" i="1"/>
  <c r="R15" i="1"/>
  <c r="Q15" i="1"/>
  <c r="P15" i="1"/>
  <c r="O15" i="1"/>
  <c r="N15" i="1"/>
  <c r="J15" i="1"/>
  <c r="G15" i="1"/>
  <c r="M15" i="1" s="1"/>
  <c r="P14" i="1"/>
  <c r="O14" i="1"/>
  <c r="N14" i="1"/>
  <c r="M14" i="1"/>
  <c r="P13" i="1"/>
  <c r="O13" i="1"/>
  <c r="N13" i="1"/>
  <c r="M13" i="1"/>
  <c r="P12" i="1"/>
  <c r="O12" i="1"/>
  <c r="N12" i="1"/>
  <c r="M12" i="1"/>
  <c r="P11" i="1"/>
  <c r="O11" i="1"/>
  <c r="N11" i="1"/>
  <c r="M11" i="1"/>
  <c r="P10" i="1"/>
  <c r="O10" i="1"/>
  <c r="N10" i="1"/>
  <c r="M10" i="1"/>
  <c r="P9" i="1"/>
  <c r="O9" i="1"/>
  <c r="N9" i="1"/>
  <c r="M9" i="1"/>
  <c r="P8" i="1"/>
  <c r="O8" i="1"/>
  <c r="N8" i="1"/>
  <c r="M8" i="1"/>
  <c r="P7" i="1"/>
  <c r="O7" i="1"/>
  <c r="N7" i="1"/>
  <c r="M7" i="1"/>
  <c r="P6" i="1"/>
  <c r="O6" i="1"/>
  <c r="N6" i="1"/>
  <c r="M6" i="1"/>
  <c r="G4" i="1"/>
  <c r="J3" i="1" s="1"/>
  <c r="O3" i="1"/>
  <c r="N3" i="1"/>
  <c r="M3" i="1"/>
  <c r="L3" i="1"/>
  <c r="K3" i="1"/>
  <c r="M25" i="3" l="1"/>
  <c r="G71" i="5"/>
  <c r="G72" i="5" s="1"/>
  <c r="G73" i="5" s="1"/>
  <c r="M3" i="8"/>
  <c r="L3" i="8"/>
  <c r="J3" i="8"/>
  <c r="L68" i="8"/>
  <c r="K68" i="8"/>
  <c r="L118" i="1"/>
  <c r="K22" i="3"/>
  <c r="K28" i="3"/>
  <c r="K3" i="8"/>
  <c r="J19" i="3"/>
  <c r="M19" i="3" s="1"/>
  <c r="N22" i="3" s="1"/>
  <c r="K19" i="3"/>
  <c r="J25" i="3"/>
  <c r="L3" i="5"/>
  <c r="G31" i="8"/>
  <c r="M31" i="8" s="1"/>
  <c r="L19" i="3" l="1"/>
  <c r="L25" i="3"/>
  <c r="K25" i="3"/>
</calcChain>
</file>

<file path=xl/sharedStrings.xml><?xml version="1.0" encoding="utf-8"?>
<sst xmlns="http://schemas.openxmlformats.org/spreadsheetml/2006/main" count="1264" uniqueCount="585">
  <si>
    <t>12 MgSiO3+4FeSiO3.5</t>
  </si>
  <si>
    <t xml:space="preserve"> </t>
  </si>
  <si>
    <t>/gpfs/loomis/project/fas/kklee/jd848/oxidation/melt2-Mg12Fe2Si16O50-4000K</t>
  </si>
  <si>
    <t>H</t>
  </si>
  <si>
    <t>C</t>
  </si>
  <si>
    <t>Mg</t>
  </si>
  <si>
    <t>Fe</t>
  </si>
  <si>
    <t>Si</t>
  </si>
  <si>
    <t>O</t>
  </si>
  <si>
    <t>molar mass g/mol</t>
  </si>
  <si>
    <t>Avogadro</t>
  </si>
  <si>
    <t>FeO wt%</t>
  </si>
  <si>
    <t>V (Ang^3)</t>
  </si>
  <si>
    <t>P pulay corr</t>
  </si>
  <si>
    <t>E (eV)</t>
  </si>
  <si>
    <t>T(K)</t>
  </si>
  <si>
    <t>pulay</t>
  </si>
  <si>
    <t>P(GPa)</t>
  </si>
  <si>
    <t>E(eV)</t>
  </si>
  <si>
    <t>V(A3)</t>
  </si>
  <si>
    <t>Perr</t>
  </si>
  <si>
    <t>Eerr</t>
  </si>
  <si>
    <t>Verr</t>
  </si>
  <si>
    <t>Terr</t>
  </si>
  <si>
    <t>path</t>
  </si>
  <si>
    <t>r1</t>
  </si>
  <si>
    <t>/gpfs/loomis/project/fas/kklee/jd848/oxidation/melt2-Mg12Fe2Si16O50-4000K/r1/DG/data/results</t>
  </si>
  <si>
    <t>good!</t>
  </si>
  <si>
    <t>r2</t>
  </si>
  <si>
    <t>/gpfs/loomis/project/fas/kklee/jd848/oxidation/melt2-Mg12Fe2Si16O50-4000K/r2/DG/data/results</t>
  </si>
  <si>
    <t>r3</t>
  </si>
  <si>
    <t>/gpfs/loomis/project/fas/kklee/jd848/oxidation/melt2-Mg12Fe2Si16O50-4000K/r3/DG/data/results</t>
  </si>
  <si>
    <t>r4</t>
  </si>
  <si>
    <t>/gpfs/loomis/project/fas/kklee/jd848/oxidation/melt2-Mg12Fe2Si16O50-4000K/r4/DG/data/results</t>
  </si>
  <si>
    <t>good</t>
  </si>
  <si>
    <t>r5</t>
  </si>
  <si>
    <t>/gpfs/loomis/project/fas/kklee/jd848/oxidation/melt2-Mg12Fe2Si16O50-4000K/r5/DG/data/results</t>
  </si>
  <si>
    <t>kind of good</t>
  </si>
  <si>
    <t>r6</t>
  </si>
  <si>
    <t>/gpfs/loomis/project/fas/kklee/jd848/oxidation/melt2-Mg12Fe2Si16O50-4000K/r6/DG/data/results</t>
  </si>
  <si>
    <t>r7</t>
  </si>
  <si>
    <t>/gpfs/loomis/project/fas/kklee/jd848/oxidation/melt2-Mg12Fe2Si16O50-4000K/r7/DG/data/results</t>
  </si>
  <si>
    <t>bad for Fe</t>
  </si>
  <si>
    <t>cannot use this</t>
  </si>
  <si>
    <t>r21</t>
  </si>
  <si>
    <t>/gpfs/loomis/project/fas/kklee/jd848/oxidation/melt2-Mg12Fe2Si16O50-4000K/r21/DG/data/results</t>
  </si>
  <si>
    <t>r22</t>
  </si>
  <si>
    <t>/gpfs/loomis/project/fas/kklee/jd848/oxidation/melt2-Mg12Fe2Si16O50-4000K/r22/DG/data/results</t>
  </si>
  <si>
    <t>r23</t>
  </si>
  <si>
    <t>/gpfs/loomis/project/fas/kklee/jd848/oxidation/melt2-Mg12Fe2Si16O50-4000K/r23/DG/data/results</t>
  </si>
  <si>
    <t>r24</t>
  </si>
  <si>
    <t>/gpfs/loomis/project/fas/kklee/jd848/oxidation/melt2-Mg12Fe2Si16O50-4000K/r24/DG/data/results</t>
  </si>
  <si>
    <t>r25</t>
  </si>
  <si>
    <t>/gpfs/loomis/project/fas/kklee/jd848/oxidation/melt2-Mg12Fe2Si16O50-4000K/r25/DG/data/results</t>
  </si>
  <si>
    <t>r36</t>
  </si>
  <si>
    <t>/gpfs/loomis/project/fas/kklee/jd848/oxidation/melt2-Mg12Fe2Si16O50-4000K/r36/DG/data/results</t>
  </si>
  <si>
    <t>r37</t>
  </si>
  <si>
    <t>/gpfs/loomis/project/fas/kklee/jd848/oxidation/melt2-Mg12Fe2Si16O50-4000K/r37/DG/data/results</t>
  </si>
  <si>
    <t>r35</t>
  </si>
  <si>
    <t>/gpfs/loomis/project/fas/kklee/jd848/oxidation/melt2-Mg12Fe2Si16O50-4000K/r35/DG/data/results</t>
  </si>
  <si>
    <t>ox02</t>
  </si>
  <si>
    <t>/gpfs/loomis/project/fas/kklee/jd848/oxidation/melt2-Mg12Fe2Si16O50-4000K/ox02/DG/data/results</t>
  </si>
  <si>
    <t>ox01</t>
  </si>
  <si>
    <t>pulay is 10000 step!!</t>
  </si>
  <si>
    <t>/gpfs/loomis/project/fas/kklee/jd848/oxidation/melt2-Mg12Fe2Si16O50-4000K/ox01/DG/data/results</t>
  </si>
  <si>
    <t>ox03</t>
  </si>
  <si>
    <t>/gpfs/loomis/project/fas/kklee/jd848/oxidation/melt2-Mg12Fe2Si16O50-4000K/ox03/DG/data/results</t>
  </si>
  <si>
    <t>12 MgSiO3+4FeSiO3</t>
  </si>
  <si>
    <t>r8</t>
  </si>
  <si>
    <t xml:space="preserve">cannot use this </t>
  </si>
  <si>
    <t>x21-re</t>
  </si>
  <si>
    <t>contiune running for 1w steps, nothing changed!</t>
  </si>
  <si>
    <t>/gpfs/loomis/project/fas/kklee/jd848/oxidation/melt2-Mg12Fe2Si16O50-4000K/x21/re/DG/data/results</t>
  </si>
  <si>
    <t>x22-re</t>
  </si>
  <si>
    <t>/gpfs/loomis/project/fas/kklee/jd848/oxidation/melt2-Mg12Fe2Si16O50-4000K/x22/DG/data/results</t>
  </si>
  <si>
    <t>x23-re</t>
  </si>
  <si>
    <t>/gpfs/loomis/project/fas/kklee/jd848/oxidation/melt2-Mg12Fe2Si16O50-4000K/x23/re/DG/data/results</t>
  </si>
  <si>
    <t>x24-re</t>
  </si>
  <si>
    <t>/gpfs/loomis/project/fas/kklee/jd848/oxidation/melt2-Mg12Fe2Si16O50-4000K/x24/re/DG/data/results</t>
  </si>
  <si>
    <t>x25-re</t>
  </si>
  <si>
    <t>/gpfs/loomis/project/fas/kklee/jd848/oxidation/melt2-Mg12Fe2Si16O50-4000K/x25/re/DG/data/results</t>
  </si>
  <si>
    <t>re02</t>
  </si>
  <si>
    <t>/gpfs/loomis/project/fas/kklee/jd848/oxidation/melt2-Mg12Fe2Si16O50-4000K/re02/DG/data/results</t>
  </si>
  <si>
    <t>re01</t>
  </si>
  <si>
    <t>/gpfs/loomis/project/fas/kklee/jd848/oxidation/melt2-Mg12Fe2Si16O50-4000K/re01/DG/data/results</t>
  </si>
  <si>
    <t>re03</t>
  </si>
  <si>
    <t>/gpfs/loomis/project/fas/kklee/jd848/oxidation/melt2-Mg12Fe2Si16O50-4000K/re03/DG/data/results</t>
  </si>
  <si>
    <t>24 MgSiO3+8FeSiO3</t>
  </si>
  <si>
    <t>melt11</t>
  </si>
  <si>
    <t>run#</t>
  </si>
  <si>
    <t>scaling fator</t>
  </si>
  <si>
    <t>kbar</t>
  </si>
  <si>
    <t>Density (g/cm3)</t>
  </si>
  <si>
    <t>P before</t>
  </si>
  <si>
    <t>14 MgSiO3 +  2FeSiO3.5</t>
  </si>
  <si>
    <t>melt3</t>
  </si>
  <si>
    <t>/gpfs/loomis/project/fas/kklee/jd848/oxidation/melt3-Mg14Fe2Si16O49-HS-2000-3000-4000K</t>
  </si>
  <si>
    <t>H2O wt%</t>
  </si>
  <si>
    <t>CO2 wt%</t>
  </si>
  <si>
    <t xml:space="preserve">DG calcualte errorenously </t>
  </si>
  <si>
    <t>4000K</t>
  </si>
  <si>
    <t>Fe-Fe</t>
  </si>
  <si>
    <t>NSW set</t>
  </si>
  <si>
    <t>DG</t>
  </si>
  <si>
    <t>r1-re2</t>
  </si>
  <si>
    <t>1 GPa lower for Fe far apart case</t>
  </si>
  <si>
    <t>/gpfs/loomis/project/fas/kklee/jd848/oxidation/melt3-Mg14Fe2Si16O49-HS-2000-3000-4000K/r1-4000/r1-re2/DG/data/results</t>
  </si>
  <si>
    <t>DG problem kind of solved</t>
  </si>
  <si>
    <t>r4-re</t>
  </si>
  <si>
    <t>/gpfs/loomis/project/fas/kklee/jd848/oxidation/melt3-Mg14Fe2Si16O49-HS-2000-3000-4000K/r4-4000/r4-re/DG/data/results</t>
  </si>
  <si>
    <t>r6-re</t>
  </si>
  <si>
    <t xml:space="preserve"> 48 NO 11 not ggod</t>
  </si>
  <si>
    <t>/gpfs/loomis/project/fas/kklee/jd848/oxidation/melt3-Mg14Fe2Si16O49-HS-2000-3000-4000K/r6-4000/r6-re/DG/data/results</t>
  </si>
  <si>
    <t>r7-re</t>
  </si>
  <si>
    <t>/gpfs/loomis/project/fas/kklee/jd848/oxidation/melt3-Mg14Fe2Si16O49-HS-2000-3000-4000K/r7-4000/r7-re/DG/data/results/</t>
  </si>
  <si>
    <t>r5-re</t>
  </si>
  <si>
    <t>O-O missing, I re-run but still missing. Set it as 0 for cn and bl</t>
  </si>
  <si>
    <t>/gpfs/loomis/project/fas/kklee/jd848/oxidation/melt3-Mg14Fe2Si16O49-HS-2000-3000-4000K/r5-4000/r5-re/DG/data/results</t>
  </si>
  <si>
    <t>run again and test DG</t>
  </si>
  <si>
    <t>r22-re</t>
  </si>
  <si>
    <t>/gpfs/loomis/project/fas/kklee/jd848/oxidation/melt3-Mg14Fe2Si16O49-HS-2000-3000-4000K/r22-4000/r22-re/DG/data/results</t>
  </si>
  <si>
    <t>r25-re</t>
  </si>
  <si>
    <t>/gpfs/loomis/project/fas/kklee/jd848/oxidation/melt3-Mg14Fe2Si16O49-HS-2000-3000-4000K/r25-4000/r25-re/DG/data/results/</t>
  </si>
  <si>
    <t>2000K</t>
  </si>
  <si>
    <t>mag</t>
  </si>
  <si>
    <t>V</t>
  </si>
  <si>
    <t>P</t>
  </si>
  <si>
    <t>P corrected</t>
  </si>
  <si>
    <t>E</t>
  </si>
  <si>
    <t>T</t>
  </si>
  <si>
    <t>r8-re</t>
  </si>
  <si>
    <t>done</t>
  </si>
  <si>
    <t>/gpfs/loomis/project/fas/kklee/jd848/oxidation/melt3-Mg14Fe2Si16O49-HS-2000-3000-4000K/r8-2000/cont1/DG/data/results</t>
  </si>
  <si>
    <t>Fe-Fe 6.9</t>
  </si>
  <si>
    <t>r9</t>
  </si>
  <si>
    <t>/gpfs/loomis/project/fas/kklee/jd848/oxidation/melt3-Mg14Fe2Si16O49-HS-2000-3000-4000K/r9-2000/DG/data/results</t>
  </si>
  <si>
    <t>this one goes to 10000, according to re-re, should be more or less consistent</t>
  </si>
  <si>
    <t>r10-re</t>
  </si>
  <si>
    <t>/gpfs/loomis/project/fas/kklee/jd848/oxidation/melt3-Mg14Fe2Si16O49-HS-2000-3000-4000K/r10-2000/r10-re/DG/data/results</t>
  </si>
  <si>
    <t>r11-2000</t>
  </si>
  <si>
    <t>/gpfs/loomis/project/fas/kklee/jd848/oxidation/melt3-Mg14Fe2Si16O49-HS-2000-3000-4000K/r11-2000/DG/data/results</t>
  </si>
  <si>
    <t>r12-2000</t>
  </si>
  <si>
    <t>glass!</t>
  </si>
  <si>
    <t>r13-re</t>
  </si>
  <si>
    <t>/gpfs/loomis/project/fas/kklee/jd848/oxidation/melt3-Mg14Fe2Si16O49-HS-2000-3000-4000K/r13-2000/r13-re/DG/data/results</t>
  </si>
  <si>
    <t>r14-2000</t>
  </si>
  <si>
    <t xml:space="preserve"> glass!!</t>
  </si>
  <si>
    <t>3000K</t>
  </si>
  <si>
    <t>done, re btter, dP = better- before = 2 bar</t>
  </si>
  <si>
    <t>/gpfs/loomis/project/fas/kklee/jd848/oxidation/melt3-Mg14Fe2Si16O49-HS-2000-3000-4000K/r37-3000/DG/data/results</t>
  </si>
  <si>
    <t>r32-re2</t>
  </si>
  <si>
    <t>/gpfs/loomis/project/fas/kklee/jd848/oxidation/melt3-Mg14Fe2Si16O49-HS-2000-3000-4000K/r32-3000/r32-re/DG/data/results</t>
  </si>
  <si>
    <t>good for all</t>
  </si>
  <si>
    <t>r33-re</t>
  </si>
  <si>
    <t>done, re worse</t>
  </si>
  <si>
    <t>/gpfs/loomis/project/fas/kklee/jd848/oxidation/melt3-Mg14Fe2Si16O49-HS-2000-3000-4000K/r33-3000/r33-re/DG/data/results</t>
  </si>
  <si>
    <t>bad ONLY for Fe</t>
  </si>
  <si>
    <t>r34-re</t>
  </si>
  <si>
    <t>done, re is higher E</t>
  </si>
  <si>
    <t>/gpfs/loomis/project/fas/kklee/jd848/oxidation/melt3-Mg14Fe2Si16O49-HS-2000-3000-4000K/r34-3000/r34-re/DG/data/results</t>
  </si>
  <si>
    <t>bad for three slow ones</t>
  </si>
  <si>
    <t>r36-re</t>
  </si>
  <si>
    <t>KIND OF BAD FOR ALL</t>
  </si>
  <si>
    <t>r38</t>
  </si>
  <si>
    <t>/gpfs/loomis/project/fas/kklee/jd848/oxidation/melt3-Mg14Fe2Si16O49-HS-2000-3000-4000K/r38-3000/DG/data/results</t>
  </si>
  <si>
    <t>bad only for Fe</t>
  </si>
  <si>
    <t>may not reach equil</t>
  </si>
  <si>
    <t>cannot show in the eos plot</t>
  </si>
  <si>
    <t>r033</t>
  </si>
  <si>
    <t>5000-10000</t>
  </si>
  <si>
    <t>bad</t>
  </si>
  <si>
    <t>r034</t>
  </si>
  <si>
    <t>done, re  better, dP = 16 kbar</t>
  </si>
  <si>
    <t>/gpfs/loomis/project/fas/kklee/jd848/oxidation/melt3-Mg14Fe2Si16O49-HS-2000-3000-4000K/r034-3000/DG/data/results</t>
  </si>
  <si>
    <t>r035</t>
  </si>
  <si>
    <t>r30</t>
  </si>
  <si>
    <t>/gpfs/loomis/project/fas/kklee/jd848/oxidation/melt3-Mg14Fe2Si16O49-HS-2000-3000-4000K/r30-3000/DG/data/results</t>
  </si>
  <si>
    <t>2500 K -ox</t>
  </si>
  <si>
    <t>x1</t>
  </si>
  <si>
    <t>/gpfs/loomis/project/fas/kklee/jd848/oxidation/melt3-Mg14Fe2Si16O49-HS-2000-3000-4000K/x1-2500/DG/data/results</t>
  </si>
  <si>
    <t>x2</t>
  </si>
  <si>
    <t>/gpfs/loomis/project/fas/kklee/jd848/oxidation/melt3-Mg14Fe2Si16O49-HS-2000-3000-4000K/x2-2500/DG/data/results</t>
  </si>
  <si>
    <t>x3</t>
  </si>
  <si>
    <t>/gpfs/loomis/project/fas/kklee/jd848/oxidation/melt3-Mg14Fe2Si16O49-HS-2000-3000-4000K/x3-2500/DG/data/results</t>
  </si>
  <si>
    <t>x4</t>
  </si>
  <si>
    <t>/gpfs/loomis/project/fas/kklee/jd848/oxidation/melt3-Mg14Fe2Si16O49-HS-2000-3000-4000K/x4-2500/DG/data/results</t>
  </si>
  <si>
    <t>x5</t>
  </si>
  <si>
    <t>/gpfs/loomis/project/fas/kklee/jd848/oxidation/melt3-Mg14Fe2Si16O49-HS-2000-3000-4000K/x5-2500/DG/data/results</t>
  </si>
  <si>
    <t>14 MgSiO3 +  2FeSiO3</t>
  </si>
  <si>
    <t>melt12 cf. melt3</t>
  </si>
  <si>
    <t>/gpfs/loomis/project/fas/kklee/jd848/DZ/melt12</t>
  </si>
  <si>
    <t>4000 K</t>
  </si>
  <si>
    <t>new pulay</t>
  </si>
  <si>
    <t>r41</t>
  </si>
  <si>
    <t>/gpfs/loomis/project/fas/kklee/jd848/DZ/melt12/r41-high/DG/data/results</t>
  </si>
  <si>
    <t>cf. r4 of melt3</t>
  </si>
  <si>
    <t>r42</t>
  </si>
  <si>
    <t>/gpfs/loomis/project/fas/kklee/jd848/DZ/melt12/r42-high/DG/data/results</t>
  </si>
  <si>
    <t>cf. r5-re of melt3</t>
  </si>
  <si>
    <t>r43</t>
  </si>
  <si>
    <t xml:space="preserve">recheck using different starting configuration, and same results. Also the real high shows the </t>
  </si>
  <si>
    <t>cf. r25-re of melt3</t>
  </si>
  <si>
    <t>/gpfs/loomis/project/fas/kklee/jd848/DZ/melt12/r43-high/DG/data/results</t>
  </si>
  <si>
    <t>r44</t>
  </si>
  <si>
    <t xml:space="preserve">interesting, Fe-Fe, rdf </t>
  </si>
  <si>
    <t>/gpfs/loomis/project/fas/kklee/jd848/DZ/melt12/r44-high/DG/data/results</t>
  </si>
  <si>
    <t>cf. r1</t>
  </si>
  <si>
    <t>r45</t>
  </si>
  <si>
    <t>/gpfs/loomis/project/fas/kklee/jd848/DZ/melt12/r45-high/DG/data/results</t>
  </si>
  <si>
    <t>cf. r6</t>
  </si>
  <si>
    <t>r46</t>
  </si>
  <si>
    <t>/gpfs/loomis/project/fas/kklee/jd848/DZ/melt12/r46-high/DG/data/results</t>
  </si>
  <si>
    <t>cf. r7</t>
  </si>
  <si>
    <t>r47</t>
  </si>
  <si>
    <t>/gpfs/loomis/project/fas/kklee/jd848/DZ/melt12/r47-high/DG/data/results</t>
  </si>
  <si>
    <t>cf r22</t>
  </si>
  <si>
    <t>3000 K</t>
  </si>
  <si>
    <t>r31</t>
  </si>
  <si>
    <t>5.6-6.3</t>
  </si>
  <si>
    <t>/gpfs/loomis/project/fas/kklee/jd848/DZ/melt12/r31-high/DG/data/results</t>
  </si>
  <si>
    <t>cf. r34-re</t>
  </si>
  <si>
    <t>cf. r38</t>
  </si>
  <si>
    <t>/gpfs/loomis/project/fas/kklee/jd848/DZ/melt12/r33-high/DG/data/results</t>
  </si>
  <si>
    <t>r32</t>
  </si>
  <si>
    <t>1.5 GPa difference</t>
  </si>
  <si>
    <t>not a liquid!!</t>
  </si>
  <si>
    <t>cf. r033of melt3 3000 K and r5-re of melt3, r42 of melt12 4000 K</t>
  </si>
  <si>
    <t>r34</t>
  </si>
  <si>
    <t>5-6.18</t>
  </si>
  <si>
    <t>2 GPa differnce</t>
  </si>
  <si>
    <t>/gpfs/loomis/project/fas/kklee/jd848/DZ/melt12/r34-high/cont1/DG/data/results</t>
  </si>
  <si>
    <t xml:space="preserve">cf. r034 of melt3 , r1 of melt3 </t>
  </si>
  <si>
    <t>done, re better, dP = 6 kbar</t>
  </si>
  <si>
    <t>/gpfs/loomis/project/fas/kklee/jd848/DZ/melt12/r35-high/DG/data/results</t>
  </si>
  <si>
    <t>cf. r32-re</t>
  </si>
  <si>
    <t>/gpfs/loomis/project/fas/kklee/jd848/DZ/melt12/r36-high/DG/data/results</t>
  </si>
  <si>
    <t>bad for Fe and also for others</t>
  </si>
  <si>
    <t>cf. r36-re</t>
  </si>
  <si>
    <t>r37-re</t>
  </si>
  <si>
    <t>/gpfs/loomis/project/fas/kklee/jd848/DZ/melt12/r37-high/DG/data/results</t>
  </si>
  <si>
    <t>cf. r37</t>
  </si>
  <si>
    <t>re worse</t>
  </si>
  <si>
    <t>/gpfs/loomis/project/fas/kklee/jd848/DZ/melt12/r38-high/DG/data/results</t>
  </si>
  <si>
    <t>cf. r</t>
  </si>
  <si>
    <t>r39</t>
  </si>
  <si>
    <t>/gpfs/loomis/project/fas/kklee/jd848/DZ/melt12/r39-high/DG/data/results</t>
  </si>
  <si>
    <t>cf. r035</t>
  </si>
  <si>
    <t>/gpfs/loomis/project/fas/kklee/jd848/DZ/melt12/r30-3000/DG/data/results</t>
  </si>
  <si>
    <t>2500 K-re</t>
  </si>
  <si>
    <t>liquid</t>
  </si>
  <si>
    <t>/gpfs/loomis/project/fas/kklee/jd848/DZ/melt12/r21/DG/data/results</t>
  </si>
  <si>
    <t>glass</t>
  </si>
  <si>
    <t>/gpfs/loomis/project/fas/kklee/jd848/DZ/melt12/r25/DG/data/results</t>
  </si>
  <si>
    <t>r27</t>
  </si>
  <si>
    <t>/gpfs/loomis/project/fas/kklee/jd848/DZ/melt12/r27/DG/data/results</t>
  </si>
  <si>
    <t>r28</t>
  </si>
  <si>
    <t>/gpfs/loomis/project/fas/kklee/jd848/DZ/melt12/r28/DG/data/results</t>
  </si>
  <si>
    <t>r29</t>
  </si>
  <si>
    <t>not quite sure</t>
  </si>
  <si>
    <t>/gpfs/loomis/project/fas/kklee/jd848/DZ/melt12/r23/DG/data/results</t>
  </si>
  <si>
    <t>2000-re</t>
  </si>
  <si>
    <t>/gpfs/loomis/project/fas/kklee/jd848/DZ/melt12/x1-2000/DG/data/results</t>
  </si>
  <si>
    <t>/gpfs/loomis/project/fas/kklee/jd848/DZ/melt12/x2-2000/DG/data/results</t>
  </si>
  <si>
    <t>/gpfs/loomis/project/fas/kklee/jd848/DZ/melt12/x3-2000/DG/data/results</t>
  </si>
  <si>
    <t>V0</t>
  </si>
  <si>
    <t>P0</t>
  </si>
  <si>
    <t>K0</t>
  </si>
  <si>
    <t>Kp</t>
  </si>
  <si>
    <t>Kdp</t>
  </si>
  <si>
    <t>T0</t>
  </si>
  <si>
    <t>a</t>
  </si>
  <si>
    <t>b</t>
  </si>
  <si>
    <t>c</t>
  </si>
  <si>
    <t>chi_static</t>
  </si>
  <si>
    <t>chi_th</t>
  </si>
  <si>
    <t>Ref</t>
  </si>
  <si>
    <t>MgSiO3</t>
  </si>
  <si>
    <t>nan</t>
  </si>
  <si>
    <t>Karki18</t>
  </si>
  <si>
    <t>ox25</t>
  </si>
  <si>
    <t>This study</t>
  </si>
  <si>
    <t>ox12p5</t>
  </si>
  <si>
    <t>﻿0.56302</t>
  </si>
  <si>
    <t>ox6p25</t>
  </si>
  <si>
    <t>﻿0.45848</t>
  </si>
  <si>
    <t>MgFeO</t>
  </si>
  <si>
    <t>Ghosh</t>
  </si>
  <si>
    <t>redchi</t>
  </si>
  <si>
    <t>FeO_3k_re</t>
  </si>
  <si>
    <t>FeO_3k_ox</t>
  </si>
  <si>
    <t>FeO_4k_re</t>
  </si>
  <si>
    <t>FeO_4k_ox</t>
  </si>
  <si>
    <t>Fe_25_4k_re</t>
  </si>
  <si>
    <t>Fe_25_4k_ox</t>
  </si>
  <si>
    <t>Fe_25_3k_re</t>
  </si>
  <si>
    <t>assume a linear relation</t>
  </si>
  <si>
    <t>for reduced at 3000 K</t>
  </si>
  <si>
    <t>old K0</t>
  </si>
  <si>
    <t>Fe_25_3k_ox</t>
  </si>
  <si>
    <t>k</t>
  </si>
  <si>
    <t>y0</t>
  </si>
  <si>
    <t>Fe_12p5_4k_re</t>
  </si>
  <si>
    <t>﻿0.12793</t>
  </si>
  <si>
    <t>for Fe at 3000 K</t>
  </si>
  <si>
    <t>Fe_12p5_4k_ox</t>
  </si>
  <si>
    <t>﻿0.37363</t>
  </si>
  <si>
    <t>Fe_12p5_3k_re</t>
  </si>
  <si>
    <t>for oxiizided at 4000 k</t>
  </si>
  <si>
    <t>Fe_12p5_3k_ox</t>
  </si>
  <si>
    <t>﻿0.03221</t>
  </si>
  <si>
    <t>Fe_6p25_4k_re</t>
  </si>
  <si>
    <t>for Fe reduced 4000 K</t>
  </si>
  <si>
    <t>Fe_6p25_4k_ox</t>
  </si>
  <si>
    <t>Fe_6p25_3k_re</t>
  </si>
  <si>
    <t>Fe_6p25_3k_ox</t>
  </si>
  <si>
    <t>Fe_6p25_2k_re</t>
  </si>
  <si>
    <t>Fe_6p25_2k_ox</t>
  </si>
  <si>
    <t>﻿15.7603291</t>
  </si>
  <si>
    <t>﻿4.38511643</t>
  </si>
  <si>
    <t>﻿-0.10384467</t>
  </si>
  <si>
    <t>Fe_12p5_2k_re</t>
  </si>
  <si>
    <t>Fe_12p5_2k_ox</t>
  </si>
  <si>
    <t>Fe_25_2k_re</t>
  </si>
  <si>
    <t>Fe_25_2k_ox</t>
  </si>
  <si>
    <t>a0</t>
  </si>
  <si>
    <t>a1</t>
  </si>
  <si>
    <t>a2</t>
  </si>
  <si>
    <t>a3</t>
  </si>
  <si>
    <t>a4</t>
  </si>
  <si>
    <t>b0</t>
  </si>
  <si>
    <t>b1</t>
  </si>
  <si>
    <t>b2</t>
  </si>
  <si>
    <t>b3</t>
  </si>
  <si>
    <t>Ni_NiO</t>
  </si>
  <si>
    <t>Fe_FeO</t>
  </si>
  <si>
    <t>ref. ﻿Campbell et al., 2009, coefficents taken from SI</t>
  </si>
  <si>
    <t>cm3/mol/K</t>
  </si>
  <si>
    <t>cm3/mol</t>
  </si>
  <si>
    <t>K</t>
  </si>
  <si>
    <t>GPa</t>
  </si>
  <si>
    <t>dVdT</t>
  </si>
  <si>
    <t>ref</t>
  </si>
  <si>
    <t>note</t>
  </si>
  <si>
    <t>FeO_1</t>
  </si>
  <si>
    <t>Zhang</t>
  </si>
  <si>
    <t>4/d is not consistent with this value, but this one looks more reasonable</t>
  </si>
  <si>
    <t>FeO_2</t>
  </si>
  <si>
    <t>4/d is not consistent with this value, but this one explicitly given in the talbe looks more reasonable</t>
  </si>
  <si>
    <t>FeO1p5</t>
  </si>
  <si>
    <t xml:space="preserve">all from Lange and Carmichael (1987) </t>
  </si>
  <si>
    <t>FeO_low</t>
  </si>
  <si>
    <t>Schaefer</t>
  </si>
  <si>
    <t>FeO1p5_low</t>
  </si>
  <si>
    <t>it says fit to Zhang 17, , dV/dT taken from LG87</t>
  </si>
  <si>
    <t>redundant</t>
  </si>
  <si>
    <t>FeO_high</t>
  </si>
  <si>
    <t>Kress  and Carmicheal 1991</t>
  </si>
  <si>
    <t>FeO1p5_high</t>
  </si>
  <si>
    <t>it says fit to Zhang 17</t>
  </si>
  <si>
    <t>FeO_l</t>
  </si>
  <si>
    <t>zhang 17, table s8, from Guo</t>
  </si>
  <si>
    <t>pure FeO liquid</t>
  </si>
  <si>
    <t>Fe_fcc</t>
  </si>
  <si>
    <t>gamma iron ,zhang</t>
  </si>
  <si>
    <t>FeO_11</t>
  </si>
  <si>
    <t>4/d</t>
  </si>
  <si>
    <t>FeO_21</t>
  </si>
  <si>
    <t>d</t>
  </si>
  <si>
    <t>e</t>
  </si>
  <si>
    <t>f</t>
  </si>
  <si>
    <t>alpha0</t>
  </si>
  <si>
    <t>delta0</t>
  </si>
  <si>
    <t>kappa</t>
  </si>
  <si>
    <t>Fe_hpc</t>
  </si>
  <si>
    <t>Fe_l</t>
  </si>
  <si>
    <t>FeO_s</t>
  </si>
  <si>
    <t>ref: Komabayashi 2014</t>
  </si>
  <si>
    <t>cols_start</t>
  </si>
  <si>
    <t>cols_end</t>
  </si>
  <si>
    <t>skiprows_read</t>
  </si>
  <si>
    <t>skiprows_write_2k</t>
  </si>
  <si>
    <t>skiprows_write_3k</t>
  </si>
  <si>
    <t>skiprows_write_4k</t>
  </si>
  <si>
    <t>nrows</t>
  </si>
  <si>
    <t>FeO_re</t>
  </si>
  <si>
    <t>FeO_ox</t>
  </si>
  <si>
    <t>Fe_25_ox</t>
  </si>
  <si>
    <t>Fe_25_re</t>
  </si>
  <si>
    <t>Fe_12p5_ox</t>
  </si>
  <si>
    <t>Fe_12p5_re</t>
  </si>
  <si>
    <t>Fe_6p25_ox</t>
  </si>
  <si>
    <t>Fe_6p25_re</t>
  </si>
  <si>
    <t>Note: read and write starts from next row as the value shows</t>
  </si>
  <si>
    <t>aerr</t>
  </si>
  <si>
    <t>berr</t>
  </si>
  <si>
    <t>cerr</t>
  </si>
  <si>
    <t>V0err</t>
  </si>
  <si>
    <t>K0err</t>
  </si>
  <si>
    <t>Kperr</t>
  </si>
  <si>
    <t>Kdperr</t>
  </si>
  <si>
    <t>old</t>
  </si>
  <si>
    <t>old before Oct 22 19</t>
  </si>
  <si>
    <t>for manuscript</t>
  </si>
  <si>
    <t>K'</t>
  </si>
  <si>
    <t>K''</t>
  </si>
  <si>
    <t>12.5%  re</t>
  </si>
  <si>
    <t>12.5%  ox</t>
  </si>
  <si>
    <t>25% re</t>
  </si>
  <si>
    <t>FeO re</t>
  </si>
  <si>
    <t>FeO ox</t>
  </si>
  <si>
    <t>12p5_cold</t>
  </si>
  <si>
    <t>32FeO</t>
  </si>
  <si>
    <t>/gpfs/loomis/project/fas/kklee/jd848/oxidation/melt6-Fe32O32-3000-4000K/</t>
  </si>
  <si>
    <t xml:space="preserve">P pulay mark for oxidation </t>
  </si>
  <si>
    <t>/gpfs/loomis/project/fas/kklee/jd848/oxidation/melt6-Fe32O32-3000-4000K/r2-high/DG/data/results</t>
  </si>
  <si>
    <t>﻿0.98</t>
  </si>
  <si>
    <t>﻿0.96</t>
  </si>
  <si>
    <t>/gpfs/loomis/project/fas/kklee/jd848/oxidation/melt6-Fe32O32-3000-4000K/r4-high/DG/data/results</t>
  </si>
  <si>
    <t>﻿0.94</t>
  </si>
  <si>
    <t>/gpfs/loomis/project/fas/kklee/jd848/oxidation/melt6-Fe32O32-3000-4000K/r5-high/DG/data/results</t>
  </si>
  <si>
    <t>﻿0.92</t>
  </si>
  <si>
    <t>/gpfs/loomis/project/fas/kklee/jd848/oxidation/melt6-Fe32O32-3000-4000K/r6-high/DG/data/results</t>
  </si>
  <si>
    <t>/gpfs/loomis/project/fas/kklee/jd848/oxidation/melt6-Fe32O32-3000-4000K/r7-high/DG/data/results</t>
  </si>
  <si>
    <t>spin wrong!!</t>
  </si>
  <si>
    <t>r10</t>
  </si>
  <si>
    <t>/gpfs/loomis/project/fas/kklee/jd848/oxidation/melt6-Fe32O32-3000-4000K/r10-high/DG/data/results</t>
  </si>
  <si>
    <t>r11</t>
  </si>
  <si>
    <t>/gpfs/loomis/project/fas/kklee/jd848/oxidation/melt6-Fe32O32-3000-4000K/r11-high/DG/data/results</t>
  </si>
  <si>
    <t>r12</t>
  </si>
  <si>
    <t>/gpfs/loomis/project/fas/kklee/jd848/oxidation/melt6-Fe32O32-3000-4000K/r12-high/DG/data/results</t>
  </si>
  <si>
    <t>r13</t>
  </si>
  <si>
    <t>/gpfs/loomis/project/fas/kklee/jd848/oxidation/melt6-Fe32O32-3000-4000K/r13-high/DG/data/results</t>
  </si>
  <si>
    <t>r14</t>
  </si>
  <si>
    <t>/gpfs/loomis/project/fas/kklee/jd848/oxidation/melt6-Fe32O32-3000-4000K/r14-high/DG/data/results</t>
  </si>
  <si>
    <t>shouler of Fe-Fe appears</t>
  </si>
  <si>
    <t>/gpfs/loomis/project/fas/kklee/jd848/oxidation/melt6-Fe32O32-3000-4000K/r32/DG/data/results</t>
  </si>
  <si>
    <t>r33</t>
  </si>
  <si>
    <t>/gpfs/loomis/project/fas/kklee/jd848/oxidation/melt6-Fe32O32-3000-4000K/r33/DG/data/results</t>
  </si>
  <si>
    <t>/gpfs/loomis/project/fas/kklee/jd848/oxidation/melt6-Fe32O32-3000-4000K/r34/DG/data/results</t>
  </si>
  <si>
    <t>/gpfs/loomis/project/fas/kklee/jd848/oxidation/melt6-Fe32O32-3000-4000K/r35/DG/data/results</t>
  </si>
  <si>
    <t>data itself is off, also at 100 GPa, Tm should be ~3200 K</t>
  </si>
  <si>
    <t>/gpfs/loomis/project/fas/kklee/jd848/oxidation/melt6-Fe32O32-3000-4000K/r31/DG/data/results</t>
  </si>
  <si>
    <t>r32_2</t>
  </si>
  <si>
    <t>from r12</t>
  </si>
  <si>
    <t>/gpfs/loomis/project/fas/kklee/jd848/oxidation/melt6-Fe32O32-3000-4000K/r32_2/DG/data/results</t>
  </si>
  <si>
    <t>r33_3</t>
  </si>
  <si>
    <t>from r13</t>
  </si>
  <si>
    <t>/gpfs/loomis/project/fas/kklee/jd848/oxidation/melt6-Fe32O32-3000-4000K/r33_3/DG/data/results</t>
  </si>
  <si>
    <t>r34_4</t>
  </si>
  <si>
    <t>from r14</t>
  </si>
  <si>
    <t>/gpfs/loomis/project/fas/kklee/jd848/oxidation/melt6-Fe32O32-3000-4000K/r34_4/DG/data/results</t>
  </si>
  <si>
    <t>FeO E(eV/f.u.)</t>
  </si>
  <si>
    <t>FeO1.5 (eV/f.u.)</t>
  </si>
  <si>
    <t>    1000</t>
  </si>
  <si>
    <t>   2000</t>
  </si>
  <si>
    <t>   3000</t>
  </si>
  <si>
    <t>   4000</t>
  </si>
  <si>
    <t>0.5O</t>
  </si>
  <si>
    <t>dE(eV./fu)</t>
  </si>
  <si>
    <t>J/mol</t>
  </si>
  <si>
    <t>dE/R/T</t>
  </si>
  <si>
    <t>32FeO1.5</t>
  </si>
  <si>
    <t>/gpfs/loomis/project/fas/kklee/jd848/oxidation/melt7-Fe32O48-3000-4000K</t>
  </si>
  <si>
    <t>/gpfs/loomis/project/fas/kklee/jd848/oxidation/melt7-Fe32O48-3000-4000K/r2/DG/data/results</t>
  </si>
  <si>
    <t>/gpfs/loomis/project/fas/kklee/jd848/oxidation/melt7-Fe32O48-3000-4000K/r3/DG/data/results</t>
  </si>
  <si>
    <t>/gpfs/loomis/project/fas/kklee/jd848/oxidation/melt7-Fe32O48-3000-4000K/r4/DG/data/results</t>
  </si>
  <si>
    <t>negative ones, maybe P not accurate</t>
  </si>
  <si>
    <t>/gpfs/loomis/project/fas/kklee/jd848/oxidation/melt7-Fe32O48-3000-4000K/r8/DG/data/results</t>
  </si>
  <si>
    <t>exra peak before 1st peak occur</t>
  </si>
  <si>
    <t>/gpfs/loomis/project/fas/kklee/jd848/oxidation/melt7-Fe32O48-3000-4000K/r9/DG/data/results</t>
  </si>
  <si>
    <t>6000-1000 around 24.9, 7000-1000 around 26.57</t>
  </si>
  <si>
    <t>/gpfs/loomis/project/fas/kklee/jd848/oxidation/melt7-Fe32O48-3000-4000K/r10/DG/data/results</t>
  </si>
  <si>
    <t>8000-1000, 92.05</t>
  </si>
  <si>
    <t>/gpfs/loomis/project/fas/kklee/jd848/oxidation/melt7-Fe32O48-3000-4000K/r11/DG/data/results</t>
  </si>
  <si>
    <t>/gpfs/loomis/project/fas/kklee/jd848/oxidation/melt7-Fe32O48-3000-4000K/r12/DG/data/results</t>
  </si>
  <si>
    <t>/gpfs/loomis/project/fas/kklee/jd848/oxidation/melt7-Fe32O48-3000-4000K/r13/DG/data/results</t>
  </si>
  <si>
    <t>/gpfs/loomis/project/fas/kklee/jd848/oxidation/melt7-Fe32O48-3000-4000K/r14/DG/data/results</t>
  </si>
  <si>
    <t>wa</t>
  </si>
  <si>
    <t>/gpfs/loomis/project/fas/kklee/jd848/oxidation/melt7-Fe32O48-3000-4000K/r21/DG/data/results</t>
  </si>
  <si>
    <t>/gpfs/loomis/project/fas/kklee/jd848/oxidation/melt7-Fe32O48-3000-4000K/r22/DG/data/results</t>
  </si>
  <si>
    <t>same as for FeO, melt temperature at 120 GPa should be higher than 3000 k</t>
  </si>
  <si>
    <t>/gpfs/loomis/project/fas/kklee/jd848/oxidation/melt7-Fe32O48-3000-4000K/r31/DG/data/results</t>
  </si>
  <si>
    <t>/gpfs/loomis/project/fas/kklee/jd848/oxidation/melt7-Fe32O48-3000-4000K/r32/DG/data/results</t>
  </si>
  <si>
    <t>/gpfs/loomis/project/fas/kklee/jd848/oxidation/melt7-Fe32O48-3000-4000K/r33/DG/data/results</t>
  </si>
  <si>
    <t>/gpfs/loomis/project/fas/kklee/jd848/oxidation/melt7-Fe32O48-3000-4000K/r34/DG/data/results</t>
  </si>
  <si>
    <t>/gpfs/loomis/project/fas/kklee/jd848/oxidation/melt7-Fe32O48-3000-4000K/r30-3000/DG/data/results</t>
  </si>
  <si>
    <t>T_21k</t>
  </si>
  <si>
    <t>T_25k</t>
  </si>
  <si>
    <t>eos</t>
  </si>
  <si>
    <t>Birch-Murnaghan</t>
  </si>
  <si>
    <t>Stixrude and Lithgow-Bertelloni Formulation</t>
  </si>
  <si>
    <t>Mie-Grüneisen-Debye</t>
  </si>
  <si>
    <t>debey.py</t>
  </si>
  <si>
    <t>einstein.py</t>
  </si>
  <si>
    <t>others. Speziale.hs fp</t>
  </si>
  <si>
    <t>Modified Tait</t>
  </si>
  <si>
    <t>Cork</t>
  </si>
  <si>
    <t>slb2</t>
  </si>
  <si>
    <t>Murakami_2013</t>
  </si>
  <si>
    <t>SLB_2011_ZSB_2013</t>
  </si>
  <si>
    <t>slb3</t>
  </si>
  <si>
    <t>Murakami_etal_2012.py</t>
  </si>
  <si>
    <t>SLB_2005</t>
  </si>
  <si>
    <t>mgd</t>
  </si>
  <si>
    <t>matas_etal_2007</t>
  </si>
  <si>
    <t>vinet</t>
  </si>
  <si>
    <t>mvinet</t>
  </si>
  <si>
    <t>Komabayashi_2014</t>
  </si>
  <si>
    <t>hp_tmt</t>
  </si>
  <si>
    <t>hphp_2013</t>
  </si>
  <si>
    <t>HP_2011_ds62</t>
  </si>
  <si>
    <t>Sundman_1991</t>
  </si>
  <si>
    <t>cork</t>
  </si>
  <si>
    <t>HP_2011_fluids</t>
  </si>
  <si>
    <t>note: calculated uisng /Users/jiedeng/Documents/MATLAB/MPbox/MPbox_2/MgO/geotherm_MgSiO3_melt.m</t>
  </si>
  <si>
    <t>30 MgSiO3 +  2FeSiO3.5</t>
  </si>
  <si>
    <t>melt4</t>
  </si>
  <si>
    <t>/gpfs/loomis/project/fas/kklee/jd848/oxidation/melt4-Mg30Fe2Si32O97-2000-3000-4000K</t>
  </si>
  <si>
    <t>vis</t>
  </si>
  <si>
    <t>r1-re</t>
  </si>
  <si>
    <t>2000-4000, within uncertainty</t>
  </si>
  <si>
    <t>r3-re</t>
  </si>
  <si>
    <t>5000-7869</t>
  </si>
  <si>
    <t>? MAGM3</t>
  </si>
  <si>
    <t>pre, wait for restart</t>
  </si>
  <si>
    <t>4000-6000</t>
  </si>
  <si>
    <t>﻿0.816</t>
  </si>
  <si>
    <t>target P is 141</t>
  </si>
  <si>
    <t>too high p, not useful</t>
  </si>
  <si>
    <t>r7-&gt;1.1</t>
  </si>
  <si>
    <t>5679-9679</t>
  </si>
  <si>
    <t>r3-&gt;1</t>
  </si>
  <si>
    <t>5000-8860</t>
  </si>
  <si>
    <t>r4-&gt;0.96</t>
  </si>
  <si>
    <t>r5-&gt;0.91</t>
  </si>
  <si>
    <t>r1-&gt;0.86</t>
  </si>
  <si>
    <t>r8-&gt;0.838</t>
  </si>
  <si>
    <t>r9-&gt;0.816</t>
  </si>
  <si>
    <t>4000-6000, does not change much if change range, within uncertainty</t>
  </si>
  <si>
    <t>r10-&gt;0.795</t>
  </si>
  <si>
    <t>outcar accidently deleted, but I've saved the pet.dat</t>
  </si>
  <si>
    <t>ox-melt4</t>
  </si>
  <si>
    <t>another 1w step only change .2, 1w step is enough</t>
  </si>
  <si>
    <t>30 MgSiO3 +  2FeSiO3</t>
  </si>
  <si>
    <t>melt5</t>
  </si>
  <si>
    <t>/gpfs/loomis/project/fas/kklee/jd848/oxidation/melt5-Mg30Fe2Si32O96-2000-3000-4000K</t>
  </si>
  <si>
    <t>based on Karki18, P here should be -0.09</t>
  </si>
  <si>
    <t>avepet.py 5000 9064</t>
  </si>
  <si>
    <t>avepet.py 5000 8452</t>
  </si>
  <si>
    <t>only Fe BAD</t>
  </si>
  <si>
    <t>5000-10000, not change much, within uncertainty</t>
  </si>
  <si>
    <t>bad for all</t>
  </si>
  <si>
    <t>5000-10000, do not change much</t>
  </si>
  <si>
    <t>E with the real high, -4, P -10, pulay is the same</t>
  </si>
  <si>
    <t>r40</t>
  </si>
  <si>
    <t>fake</t>
  </si>
  <si>
    <t xml:space="preserve">5000-10000, pulay gives 58.064 and could be 65.2, here I use 65.2 to get better consistency between my results and what Karki et al 2018 predited </t>
  </si>
  <si>
    <t>comment</t>
  </si>
  <si>
    <t>3000 K overall, there may be 1 GPa difference forfake hs case</t>
  </si>
  <si>
    <t>4000 K overall very consistent with the karki18 predication</t>
  </si>
  <si>
    <t>2500 K</t>
  </si>
  <si>
    <t>r20</t>
  </si>
  <si>
    <t>p does decrease around 0.5 GPa for another 1w steps</t>
  </si>
  <si>
    <t>tools</t>
  </si>
  <si>
    <t>fo2_z17</t>
  </si>
  <si>
    <t>original a,b + PV as input</t>
  </si>
  <si>
    <t>fo2_z17_2</t>
  </si>
  <si>
    <t>a,b as input, now set as the fitted using O16 and z17</t>
  </si>
  <si>
    <t>﻿fo2_1bar_J04_2</t>
  </si>
  <si>
    <t>equation 10 of J04, only work for 1bar</t>
  </si>
  <si>
    <t>﻿fo2_1bar_J04</t>
  </si>
  <si>
    <t>equation 14, W term considered, only work for 1bar</t>
  </si>
  <si>
    <t>﻿fo2_J04</t>
  </si>
  <si>
    <t>equation 14 + PV as input</t>
  </si>
  <si>
    <t>tools2</t>
  </si>
  <si>
    <t>﻿fo2_cal_vector</t>
  </si>
  <si>
    <t>two method z17 and J04 to choose</t>
  </si>
  <si>
    <t>﻿X_cal_vector</t>
  </si>
  <si>
    <t>two method z17 and J04 to choose, z17 use fitted a,b, J04 does not consider other elements</t>
  </si>
  <si>
    <t>25_cold</t>
  </si>
  <si>
    <t>12p5_hot</t>
  </si>
  <si>
    <t>25_hot</t>
  </si>
  <si>
    <t>Fe-O</t>
  </si>
  <si>
    <t>O-Fe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</si>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</sst>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E+00"/>
    <numFmt numFmtId="165" formatCode="0.000"/>
    <numFmt numFmtId="166" formatCode="0.0000"/>
  </numFmts>
  <fonts count="39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Menlo"/>
      <family val="2"/>
    </font>
    <font>
      <sz val="12"/>
      <color theme="1"/>
      <name val="Times New Roman"/>
      <family val="1"/>
    </font>
    <font>
      <sz val="11"/>
      <color rgb="FF000000"/>
      <name val="Menlo"/>
      <family val="2"/>
    </font>
    <font>
      <b/>
      <sz val="12"/>
      <name val="Calibri"/>
      <family val="2"/>
    </font>
    <font>
      <b/>
      <sz val="12"/>
      <name val="Calibri"/>
      <family val="2"/>
    </font>
    <font>
      <sz val="12"/>
      <name val="Times New Roman"/>
      <family val="1"/>
    </font>
    <font>
      <sz val="11"/>
      <color theme="1"/>
      <name val="Liberation Sans"/>
    </font>
    <font>
      <b/>
      <sz val="12"/>
      <name val="Calibri"/>
      <family val="2"/>
    </font>
    <font>
      <sz val="12"/>
      <name val="Calibri"/>
      <family val="2"/>
    </font>
    <font>
      <b/>
      <sz val="12"/>
      <color rgb="FFFF0000"/>
      <name val="Calibri (Body)_x0000_"/>
    </font>
    <font>
      <sz val="12"/>
      <color rgb="FFFF0000"/>
      <name val="Calibri (Body)_x0000_"/>
    </font>
    <font>
      <b/>
      <sz val="12"/>
      <name val="Calibri"/>
      <family val="2"/>
    </font>
    <font>
      <sz val="11"/>
      <color rgb="FFFF0000"/>
      <name val="Menlo"/>
      <family val="2"/>
    </font>
    <font>
      <sz val="11"/>
      <name val="Menlo"/>
      <family val="2"/>
    </font>
    <font>
      <sz val="10"/>
      <color theme="1"/>
      <name val="Courier"/>
      <family val="1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sz val="9"/>
      <color rgb="FF000000"/>
      <name val="Helvetica"/>
      <family val="2"/>
    </font>
    <font>
      <b/>
      <sz val="12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sz val="11"/>
      <color theme="3" tint="0.39997558519241921"/>
      <name val="Menlo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102">
    <xf numFmtId="0" fontId="0" fillId="0" borderId="0" xfId="0"/>
    <xf numFmtId="0" fontId="0" fillId="3" borderId="0" xfId="0" applyFill="1"/>
    <xf numFmtId="11" fontId="0" fillId="3" borderId="0" xfId="0" applyNumberFormat="1" applyFill="1"/>
    <xf numFmtId="0" fontId="3" fillId="5" borderId="0" xfId="0" applyFont="1" applyFill="1"/>
    <xf numFmtId="0" fontId="2" fillId="3" borderId="0" xfId="0" applyFont="1" applyFill="1"/>
    <xf numFmtId="0" fontId="4" fillId="3" borderId="0" xfId="0" applyFont="1" applyFill="1"/>
    <xf numFmtId="164" fontId="0" fillId="0" borderId="0" xfId="0" applyNumberFormat="1"/>
    <xf numFmtId="0" fontId="2" fillId="2" borderId="0" xfId="0" applyFont="1" applyFill="1"/>
    <xf numFmtId="0" fontId="5" fillId="7" borderId="0" xfId="0" applyFont="1" applyFill="1"/>
    <xf numFmtId="0" fontId="2" fillId="7" borderId="0" xfId="0" applyFont="1" applyFill="1"/>
    <xf numFmtId="0" fontId="0" fillId="6" borderId="0" xfId="0" applyFill="1"/>
    <xf numFmtId="0" fontId="0" fillId="8" borderId="0" xfId="0" applyFill="1"/>
    <xf numFmtId="0" fontId="0" fillId="9" borderId="0" xfId="0" applyFill="1"/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3" borderId="0" xfId="0" applyFont="1" applyFill="1"/>
    <xf numFmtId="0" fontId="4" fillId="0" borderId="0" xfId="0" applyFont="1"/>
    <xf numFmtId="0" fontId="0" fillId="4" borderId="0" xfId="0" applyFill="1"/>
    <xf numFmtId="0" fontId="1" fillId="4" borderId="0" xfId="0" applyFont="1" applyFill="1"/>
    <xf numFmtId="0" fontId="2" fillId="0" borderId="0" xfId="0" applyFont="1" applyAlignment="1">
      <alignment horizontal="center"/>
    </xf>
    <xf numFmtId="164" fontId="2" fillId="0" borderId="0" xfId="0" applyNumberFormat="1" applyFont="1"/>
    <xf numFmtId="0" fontId="9" fillId="0" borderId="0" xfId="0" applyFont="1"/>
    <xf numFmtId="0" fontId="0" fillId="0" borderId="0" xfId="0" applyAlignment="1">
      <alignment vertical="center"/>
    </xf>
    <xf numFmtId="2" fontId="0" fillId="0" borderId="0" xfId="0" applyNumberForma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3" fillId="0" borderId="1" xfId="0" applyFont="1" applyBorder="1" applyAlignment="1">
      <alignment horizontal="center" vertical="top"/>
    </xf>
    <xf numFmtId="0" fontId="14" fillId="0" borderId="0" xfId="0" applyFont="1"/>
    <xf numFmtId="11" fontId="0" fillId="0" borderId="0" xfId="0" applyNumberFormat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center"/>
    </xf>
    <xf numFmtId="0" fontId="16" fillId="0" borderId="3" xfId="0" applyFont="1" applyBorder="1" applyAlignment="1">
      <alignment horizontal="center" vertical="top"/>
    </xf>
    <xf numFmtId="0" fontId="17" fillId="0" borderId="3" xfId="0" applyFont="1" applyBorder="1" applyAlignment="1">
      <alignment horizontal="center" vertical="top"/>
    </xf>
    <xf numFmtId="0" fontId="17" fillId="0" borderId="2" xfId="0" applyFont="1" applyBorder="1" applyAlignment="1">
      <alignment horizontal="center" vertical="top"/>
    </xf>
    <xf numFmtId="0" fontId="12" fillId="0" borderId="4" xfId="0" applyFont="1" applyBorder="1" applyAlignment="1">
      <alignment horizontal="center" vertical="top"/>
    </xf>
    <xf numFmtId="0" fontId="0" fillId="2" borderId="0" xfId="0" applyFill="1"/>
    <xf numFmtId="0" fontId="18" fillId="0" borderId="3" xfId="0" applyFont="1" applyBorder="1" applyAlignment="1">
      <alignment horizontal="center" vertical="top"/>
    </xf>
    <xf numFmtId="0" fontId="19" fillId="0" borderId="0" xfId="0" applyFont="1"/>
    <xf numFmtId="0" fontId="18" fillId="0" borderId="5" xfId="0" applyFont="1" applyBorder="1" applyAlignment="1">
      <alignment horizontal="center" vertical="top"/>
    </xf>
    <xf numFmtId="0" fontId="20" fillId="0" borderId="6" xfId="0" applyFont="1" applyBorder="1" applyAlignment="1">
      <alignment horizontal="center" vertical="top"/>
    </xf>
    <xf numFmtId="0" fontId="0" fillId="7" borderId="0" xfId="0" applyFill="1"/>
    <xf numFmtId="0" fontId="0" fillId="11" borderId="0" xfId="0" applyFill="1"/>
    <xf numFmtId="11" fontId="9" fillId="0" borderId="0" xfId="0" applyNumberFormat="1" applyFont="1"/>
    <xf numFmtId="11" fontId="11" fillId="0" borderId="0" xfId="0" applyNumberFormat="1" applyFont="1" applyAlignment="1">
      <alignment vertical="center"/>
    </xf>
    <xf numFmtId="0" fontId="21" fillId="0" borderId="0" xfId="0" applyFont="1"/>
    <xf numFmtId="0" fontId="11" fillId="0" borderId="0" xfId="0" applyFont="1"/>
    <xf numFmtId="0" fontId="1" fillId="0" borderId="0" xfId="0" applyFont="1"/>
    <xf numFmtId="0" fontId="22" fillId="0" borderId="0" xfId="0" applyFont="1"/>
    <xf numFmtId="0" fontId="12" fillId="8" borderId="0" xfId="0" applyFont="1" applyFill="1" applyAlignment="1">
      <alignment horizontal="center" vertical="top"/>
    </xf>
    <xf numFmtId="2" fontId="0" fillId="8" borderId="0" xfId="0" applyNumberFormat="1" applyFill="1"/>
    <xf numFmtId="11" fontId="0" fillId="8" borderId="0" xfId="0" applyNumberFormat="1" applyFill="1"/>
    <xf numFmtId="0" fontId="12" fillId="0" borderId="6" xfId="0" applyFont="1" applyBorder="1" applyAlignment="1">
      <alignment horizontal="center" vertical="top"/>
    </xf>
    <xf numFmtId="0" fontId="12" fillId="0" borderId="1" xfId="0" applyFont="1" applyBorder="1" applyAlignment="1">
      <alignment horizontal="center" vertical="top"/>
    </xf>
    <xf numFmtId="0" fontId="23" fillId="0" borderId="0" xfId="0" applyFont="1"/>
    <xf numFmtId="0" fontId="0" fillId="5" borderId="0" xfId="0" applyFill="1"/>
    <xf numFmtId="165" fontId="0" fillId="0" borderId="0" xfId="0" applyNumberFormat="1"/>
    <xf numFmtId="0" fontId="24" fillId="0" borderId="7" xfId="0" applyFont="1" applyBorder="1" applyAlignment="1">
      <alignment horizontal="center" vertical="top"/>
    </xf>
    <xf numFmtId="49" fontId="25" fillId="0" borderId="8" xfId="0" applyNumberFormat="1" applyFont="1" applyBorder="1" applyAlignment="1">
      <alignment horizontal="center" vertical="top"/>
    </xf>
    <xf numFmtId="0" fontId="0" fillId="10" borderId="0" xfId="0" applyFill="1"/>
    <xf numFmtId="0" fontId="4" fillId="2" borderId="0" xfId="0" applyFont="1" applyFill="1"/>
    <xf numFmtId="0" fontId="26" fillId="0" borderId="9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2" fillId="0" borderId="9" xfId="0" applyFont="1" applyBorder="1" applyAlignment="1">
      <alignment horizontal="center" vertical="top"/>
    </xf>
    <xf numFmtId="0" fontId="27" fillId="0" borderId="10" xfId="0" applyFont="1" applyBorder="1" applyAlignment="1">
      <alignment horizontal="center" vertical="top"/>
    </xf>
    <xf numFmtId="0" fontId="7" fillId="0" borderId="0" xfId="0" applyFont="1"/>
    <xf numFmtId="0" fontId="17" fillId="0" borderId="2" xfId="0" applyFont="1" applyBorder="1" applyAlignment="1">
      <alignment horizontal="right" vertical="top"/>
    </xf>
    <xf numFmtId="0" fontId="2" fillId="0" borderId="0" xfId="0" applyFont="1"/>
    <xf numFmtId="0" fontId="1" fillId="0" borderId="11" xfId="0" applyFont="1" applyBorder="1" applyAlignment="1">
      <alignment horizontal="center" vertical="top"/>
    </xf>
    <xf numFmtId="0" fontId="28" fillId="0" borderId="12" xfId="0" applyFont="1" applyBorder="1" applyAlignment="1">
      <alignment horizontal="center" vertical="top"/>
    </xf>
    <xf numFmtId="0" fontId="1" fillId="5" borderId="0" xfId="0" applyFont="1" applyFill="1"/>
    <xf numFmtId="0" fontId="29" fillId="0" borderId="13" xfId="0" applyFont="1" applyBorder="1" applyAlignment="1">
      <alignment horizontal="center" vertical="top"/>
    </xf>
    <xf numFmtId="0" fontId="0" fillId="12" borderId="0" xfId="0" applyFill="1" applyAlignment="1">
      <alignment horizontal="center"/>
    </xf>
    <xf numFmtId="0" fontId="9" fillId="12" borderId="0" xfId="0" applyFont="1" applyFill="1"/>
    <xf numFmtId="0" fontId="9" fillId="13" borderId="0" xfId="0" applyFont="1" applyFill="1"/>
    <xf numFmtId="0" fontId="0" fillId="13" borderId="0" xfId="0" applyFill="1" applyAlignment="1">
      <alignment horizontal="center"/>
    </xf>
    <xf numFmtId="0" fontId="9" fillId="14" borderId="0" xfId="0" applyFont="1" applyFill="1"/>
    <xf numFmtId="0" fontId="0" fillId="14" borderId="0" xfId="0" applyFill="1" applyAlignment="1">
      <alignment horizontal="center"/>
    </xf>
    <xf numFmtId="0" fontId="30" fillId="0" borderId="14" xfId="0" applyFont="1" applyBorder="1" applyAlignment="1">
      <alignment horizontal="center" vertical="top"/>
    </xf>
    <xf numFmtId="0" fontId="31" fillId="0" borderId="15" xfId="0" applyFont="1" applyBorder="1" applyAlignment="1">
      <alignment horizontal="center" vertical="top"/>
    </xf>
    <xf numFmtId="0" fontId="32" fillId="0" borderId="0" xfId="0" applyFont="1" applyAlignment="1">
      <alignment vertical="center"/>
    </xf>
    <xf numFmtId="0" fontId="33" fillId="0" borderId="15" xfId="0" applyFont="1" applyBorder="1" applyAlignment="1">
      <alignment horizontal="center" vertical="top"/>
    </xf>
    <xf numFmtId="0" fontId="33" fillId="0" borderId="16" xfId="0" applyFont="1" applyBorder="1" applyAlignment="1">
      <alignment horizontal="center" vertical="top"/>
    </xf>
    <xf numFmtId="0" fontId="33" fillId="0" borderId="17" xfId="0" applyFont="1" applyBorder="1" applyAlignment="1">
      <alignment horizontal="center" vertical="top"/>
    </xf>
    <xf numFmtId="0" fontId="6" fillId="0" borderId="0" xfId="0" applyFont="1"/>
    <xf numFmtId="0" fontId="34" fillId="0" borderId="18" xfId="0" applyFont="1" applyBorder="1" applyAlignment="1">
      <alignment horizontal="center" vertical="top"/>
    </xf>
    <xf numFmtId="0" fontId="35" fillId="0" borderId="19" xfId="0" applyFont="1" applyBorder="1" applyAlignment="1">
      <alignment horizontal="center" vertical="top"/>
    </xf>
    <xf numFmtId="0" fontId="36" fillId="0" borderId="0" xfId="0" applyFont="1"/>
    <xf numFmtId="0" fontId="5" fillId="0" borderId="0" xfId="0" applyFont="1"/>
    <xf numFmtId="0" fontId="5" fillId="3" borderId="0" xfId="0" applyFont="1" applyFill="1"/>
    <xf numFmtId="0" fontId="0" fillId="0" borderId="0" xfId="0"/>
    <xf numFmtId="0" fontId="5" fillId="15" borderId="0" xfId="0" applyFont="1" applyFill="1"/>
    <xf numFmtId="0" fontId="37" fillId="0" borderId="20" xfId="0" applyFont="1" applyBorder="1" applyAlignment="1">
      <alignment horizontal="center" vertical="top"/>
    </xf>
    <xf numFmtId="0" fontId="33" fillId="0" borderId="20" xfId="0" applyFont="1" applyBorder="1" applyAlignment="1">
      <alignment horizontal="center" vertical="top"/>
    </xf>
    <xf numFmtId="0" fontId="33" fillId="0" borderId="0" xfId="0" applyFont="1" applyAlignment="1">
      <alignment horizontal="center" vertical="top"/>
    </xf>
    <xf numFmtId="2" fontId="6" fillId="0" borderId="0" xfId="0" applyNumberFormat="1" applyFont="1"/>
    <xf numFmtId="166" fontId="6" fillId="0" borderId="0" xfId="0" applyNumberFormat="1" applyFont="1"/>
    <xf numFmtId="166" fontId="0" fillId="0" borderId="0" xfId="0" applyNumberFormat="1"/>
    <xf numFmtId="0" fontId="12" fillId="0" borderId="0" xfId="0" applyFont="1" applyAlignment="1">
      <alignment horizontal="center" vertical="top"/>
    </xf>
    <xf numFmtId="0" fontId="38" fillId="0" borderId="21" xfId="0" applyFont="1" applyBorder="1" applyAlignment="1">
      <alignment horizontal="center" vertical="top"/>
    </xf>
    <xf numFmtId="0" fontId="12" fillId="0" borderId="21" xfId="0" applyFont="1" applyBorder="1" applyAlignment="1">
      <alignment horizontal="center" vertical="top"/>
    </xf>
    <xf numFmtId="0" fontId="2" fillId="8" borderId="0" xfId="0" applyFont="1" applyFill="1"/>
    <xf numFmtId="0" fontId="15" fillId="8" borderId="0" xfId="0" applyFon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burnman.org/current-doc/eos.html" TargetMode="External"/><Relationship Id="rId2" Type="http://schemas.openxmlformats.org/officeDocument/2006/relationships/hyperlink" Target="https://burnman.org/current-doc/eos.html" TargetMode="External"/><Relationship Id="rId1" Type="http://schemas.openxmlformats.org/officeDocument/2006/relationships/hyperlink" Target="https://burnman.org/current-doc/eos.html" TargetMode="External"/><Relationship Id="rId5" Type="http://schemas.openxmlformats.org/officeDocument/2006/relationships/hyperlink" Target="https://burnman.org/current-doc/eos.html" TargetMode="External"/><Relationship Id="rId4" Type="http://schemas.openxmlformats.org/officeDocument/2006/relationships/hyperlink" Target="https://burnman.org/current-doc/eo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128"/>
  <sheetViews>
    <sheetView tabSelected="1" topLeftCell="A71" zoomScale="81" zoomScaleNormal="64" workbookViewId="0">
      <selection activeCell="C76" sqref="C76"/>
    </sheetView>
  </sheetViews>
  <sheetFormatPr baseColWidth="10" defaultRowHeight="16"/>
  <cols>
    <col min="7" max="7" width="10.83203125" style="11"/>
    <col min="22" max="22" width="10.83203125" style="89" customWidth="1"/>
  </cols>
  <sheetData>
    <row r="1" spans="1:54">
      <c r="A1" s="66" t="s">
        <v>0</v>
      </c>
      <c r="B1" s="66"/>
      <c r="C1" s="66"/>
      <c r="D1" s="66" t="s">
        <v>1</v>
      </c>
      <c r="E1" s="66"/>
      <c r="F1" s="21" t="s">
        <v>2</v>
      </c>
      <c r="G1" s="100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</row>
    <row r="2" spans="1:54" s="66" customFormat="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1" t="s">
        <v>9</v>
      </c>
      <c r="H2" s="1"/>
      <c r="I2" s="1" t="s">
        <v>10</v>
      </c>
      <c r="J2" s="1" t="s">
        <v>11</v>
      </c>
      <c r="K2" s="1" t="s">
        <v>1</v>
      </c>
      <c r="L2" s="1" t="s">
        <v>6</v>
      </c>
      <c r="M2" s="1" t="s">
        <v>6</v>
      </c>
      <c r="N2" s="1" t="s">
        <v>5</v>
      </c>
      <c r="O2" s="1" t="s">
        <v>7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 s="1" customFormat="1">
      <c r="A3" s="1">
        <v>0</v>
      </c>
      <c r="B3" s="1">
        <v>0</v>
      </c>
      <c r="C3" s="1">
        <v>12</v>
      </c>
      <c r="D3" s="1">
        <v>4</v>
      </c>
      <c r="E3" s="1">
        <v>16</v>
      </c>
      <c r="F3" s="1">
        <v>50</v>
      </c>
      <c r="G3" s="11"/>
      <c r="J3" s="1">
        <f>D3*72/G4</f>
        <v>0.16321349231536475</v>
      </c>
      <c r="K3" s="1">
        <f>D3/(C3+D3)</f>
        <v>0.25</v>
      </c>
      <c r="L3" s="5">
        <f>D3*2/(C3+D3+E3)</f>
        <v>0.25</v>
      </c>
      <c r="M3" s="1">
        <f>4/(C3+D3+E3)</f>
        <v>0.125</v>
      </c>
      <c r="N3" s="5">
        <f>C3/(D3+C3+E3)</f>
        <v>0.375</v>
      </c>
      <c r="O3" s="1">
        <f>E3/(E3+D3+C3)</f>
        <v>0.5</v>
      </c>
    </row>
    <row r="4" spans="1:54" s="1" customFormat="1">
      <c r="A4" s="1">
        <v>1.02</v>
      </c>
      <c r="B4" s="1">
        <v>12.01</v>
      </c>
      <c r="C4" s="1">
        <v>24.31</v>
      </c>
      <c r="D4" s="1">
        <v>55.85</v>
      </c>
      <c r="E4" s="1">
        <v>28.09</v>
      </c>
      <c r="F4" s="1">
        <v>16</v>
      </c>
      <c r="G4" s="11">
        <f>A3*A4+B4*B3+C4*C3+D4*D3+E4*E3+F4*F3</f>
        <v>1764.56</v>
      </c>
      <c r="I4" s="2">
        <v>6.0220000000000003E+23</v>
      </c>
    </row>
    <row r="5" spans="1:54">
      <c r="D5" t="s">
        <v>12</v>
      </c>
      <c r="G5" s="11" t="s">
        <v>13</v>
      </c>
      <c r="H5" t="s">
        <v>14</v>
      </c>
      <c r="I5" t="s">
        <v>15</v>
      </c>
      <c r="J5" t="s">
        <v>16</v>
      </c>
      <c r="M5" s="83" t="s">
        <v>17</v>
      </c>
      <c r="N5" s="83" t="s">
        <v>18</v>
      </c>
      <c r="O5" s="83" t="s">
        <v>19</v>
      </c>
      <c r="P5" s="83" t="s">
        <v>15</v>
      </c>
      <c r="Q5" s="83" t="s">
        <v>20</v>
      </c>
      <c r="R5" s="83" t="s">
        <v>21</v>
      </c>
      <c r="S5" s="83" t="s">
        <v>22</v>
      </c>
      <c r="T5" s="83" t="s">
        <v>23</v>
      </c>
      <c r="V5" s="83" t="s">
        <v>24</v>
      </c>
      <c r="W5" s="83" t="s">
        <v>5</v>
      </c>
      <c r="X5" s="83" t="s">
        <v>6</v>
      </c>
      <c r="Y5" s="83" t="s">
        <v>7</v>
      </c>
      <c r="Z5" s="83" t="s">
        <v>8</v>
      </c>
    </row>
    <row r="6" spans="1:54">
      <c r="D6" s="61">
        <v>1240.25</v>
      </c>
      <c r="G6" s="29">
        <v>0.21</v>
      </c>
      <c r="I6" s="28">
        <v>3000</v>
      </c>
      <c r="L6">
        <v>3000</v>
      </c>
      <c r="M6">
        <f t="shared" ref="M6:M14" si="0">G6</f>
        <v>0.21</v>
      </c>
      <c r="N6">
        <f t="shared" ref="N6:N14" si="1">H6</f>
        <v>0</v>
      </c>
      <c r="O6">
        <f t="shared" ref="O6:O15" si="2">D6</f>
        <v>1240.25</v>
      </c>
      <c r="P6">
        <f t="shared" ref="P6:P15" si="3">I6</f>
        <v>3000</v>
      </c>
      <c r="Q6">
        <v>0</v>
      </c>
      <c r="R6">
        <v>0</v>
      </c>
      <c r="S6">
        <v>0</v>
      </c>
      <c r="T6">
        <v>0</v>
      </c>
    </row>
    <row r="7" spans="1:54">
      <c r="D7" s="61">
        <v>1136.8900000000001</v>
      </c>
      <c r="G7" s="29">
        <v>1.79</v>
      </c>
      <c r="I7" s="28">
        <v>3000</v>
      </c>
      <c r="L7">
        <v>3000</v>
      </c>
      <c r="M7">
        <f t="shared" si="0"/>
        <v>1.79</v>
      </c>
      <c r="N7">
        <f t="shared" si="1"/>
        <v>0</v>
      </c>
      <c r="O7">
        <f t="shared" si="2"/>
        <v>1136.8900000000001</v>
      </c>
      <c r="P7">
        <f t="shared" si="3"/>
        <v>3000</v>
      </c>
      <c r="Q7">
        <v>0</v>
      </c>
      <c r="R7">
        <v>0</v>
      </c>
      <c r="S7">
        <v>0</v>
      </c>
      <c r="T7">
        <v>0</v>
      </c>
    </row>
    <row r="8" spans="1:54">
      <c r="D8" s="61">
        <v>1033.54</v>
      </c>
      <c r="G8" s="29">
        <v>4.67</v>
      </c>
      <c r="I8" s="28">
        <v>3000</v>
      </c>
      <c r="L8">
        <v>3000</v>
      </c>
      <c r="M8">
        <f t="shared" si="0"/>
        <v>4.67</v>
      </c>
      <c r="N8">
        <f t="shared" si="1"/>
        <v>0</v>
      </c>
      <c r="O8">
        <f t="shared" si="2"/>
        <v>1033.54</v>
      </c>
      <c r="P8">
        <f t="shared" si="3"/>
        <v>3000</v>
      </c>
      <c r="Q8">
        <v>0</v>
      </c>
      <c r="R8">
        <v>0</v>
      </c>
      <c r="S8">
        <v>0</v>
      </c>
      <c r="T8">
        <v>0</v>
      </c>
    </row>
    <row r="9" spans="1:54">
      <c r="D9" s="61">
        <v>930.19</v>
      </c>
      <c r="G9" s="29">
        <v>10.210000000000001</v>
      </c>
      <c r="I9" s="28">
        <v>3000</v>
      </c>
      <c r="L9">
        <v>3000</v>
      </c>
      <c r="M9">
        <f t="shared" si="0"/>
        <v>10.210000000000001</v>
      </c>
      <c r="N9">
        <f t="shared" si="1"/>
        <v>0</v>
      </c>
      <c r="O9">
        <f t="shared" si="2"/>
        <v>930.19</v>
      </c>
      <c r="P9">
        <f t="shared" si="3"/>
        <v>3000</v>
      </c>
      <c r="Q9">
        <v>0</v>
      </c>
      <c r="R9">
        <v>0</v>
      </c>
      <c r="S9">
        <v>0</v>
      </c>
      <c r="T9">
        <v>0</v>
      </c>
    </row>
    <row r="10" spans="1:54">
      <c r="D10" s="61">
        <v>826.83</v>
      </c>
      <c r="G10" s="29">
        <v>18.78</v>
      </c>
      <c r="I10" s="28">
        <v>3000</v>
      </c>
      <c r="L10">
        <v>3000</v>
      </c>
      <c r="M10">
        <f t="shared" si="0"/>
        <v>18.78</v>
      </c>
      <c r="N10">
        <f t="shared" si="1"/>
        <v>0</v>
      </c>
      <c r="O10">
        <f t="shared" si="2"/>
        <v>826.83</v>
      </c>
      <c r="P10">
        <f t="shared" si="3"/>
        <v>3000</v>
      </c>
      <c r="Q10">
        <v>0</v>
      </c>
      <c r="R10">
        <v>0</v>
      </c>
      <c r="S10">
        <v>0</v>
      </c>
      <c r="T10">
        <v>0</v>
      </c>
    </row>
    <row r="11" spans="1:54">
      <c r="D11" s="76">
        <v>723.48</v>
      </c>
      <c r="G11" s="29">
        <v>34.4</v>
      </c>
      <c r="I11" s="28">
        <v>3000</v>
      </c>
      <c r="L11" s="58">
        <v>3000</v>
      </c>
      <c r="M11" s="58">
        <f t="shared" si="0"/>
        <v>34.4</v>
      </c>
      <c r="N11" s="58">
        <f t="shared" si="1"/>
        <v>0</v>
      </c>
      <c r="O11" s="58">
        <f t="shared" si="2"/>
        <v>723.48</v>
      </c>
      <c r="P11" s="58">
        <f t="shared" si="3"/>
        <v>3000</v>
      </c>
      <c r="Q11" s="58"/>
      <c r="R11" s="58"/>
      <c r="S11" s="58"/>
      <c r="T11" s="58"/>
    </row>
    <row r="12" spans="1:54">
      <c r="D12" s="74">
        <v>620.12</v>
      </c>
      <c r="G12" s="29">
        <v>70.36</v>
      </c>
      <c r="I12" s="28">
        <v>3000</v>
      </c>
      <c r="L12" s="58">
        <v>3000</v>
      </c>
      <c r="M12" s="58">
        <f t="shared" si="0"/>
        <v>70.36</v>
      </c>
      <c r="N12" s="58">
        <f t="shared" si="1"/>
        <v>0</v>
      </c>
      <c r="O12" s="58">
        <f t="shared" si="2"/>
        <v>620.12</v>
      </c>
      <c r="P12" s="58">
        <f t="shared" si="3"/>
        <v>3000</v>
      </c>
      <c r="Q12" s="58"/>
      <c r="R12" s="58"/>
      <c r="S12" s="58"/>
      <c r="T12" s="58"/>
    </row>
    <row r="13" spans="1:54">
      <c r="D13" s="71">
        <v>568.45000000000005</v>
      </c>
      <c r="G13" s="29">
        <v>106.55</v>
      </c>
      <c r="I13" s="28">
        <v>3000</v>
      </c>
      <c r="L13" s="58">
        <v>3000</v>
      </c>
      <c r="M13" s="58">
        <f t="shared" si="0"/>
        <v>106.55</v>
      </c>
      <c r="N13" s="58">
        <f t="shared" si="1"/>
        <v>0</v>
      </c>
      <c r="O13" s="58">
        <f t="shared" si="2"/>
        <v>568.45000000000005</v>
      </c>
      <c r="P13" s="58">
        <f t="shared" si="3"/>
        <v>3000</v>
      </c>
      <c r="Q13" s="58"/>
      <c r="R13" s="58"/>
      <c r="S13" s="58"/>
      <c r="T13" s="58"/>
    </row>
    <row r="14" spans="1:54">
      <c r="D14" s="61">
        <v>542.61</v>
      </c>
      <c r="G14" s="29">
        <v>128.38999999999999</v>
      </c>
      <c r="I14" s="28">
        <v>3000</v>
      </c>
      <c r="L14">
        <v>3000</v>
      </c>
      <c r="M14">
        <f t="shared" si="0"/>
        <v>128.38999999999999</v>
      </c>
      <c r="N14">
        <f t="shared" si="1"/>
        <v>0</v>
      </c>
      <c r="O14">
        <f t="shared" si="2"/>
        <v>542.61</v>
      </c>
      <c r="P14">
        <f t="shared" si="3"/>
        <v>3000</v>
      </c>
      <c r="Q14">
        <v>0</v>
      </c>
      <c r="R14">
        <v>0</v>
      </c>
      <c r="S14">
        <v>0</v>
      </c>
      <c r="T14">
        <v>0</v>
      </c>
    </row>
    <row r="15" spans="1:54">
      <c r="A15" t="s">
        <v>25</v>
      </c>
      <c r="D15" s="61">
        <v>1136.8900000000001</v>
      </c>
      <c r="F15" s="25">
        <v>-9.56</v>
      </c>
      <c r="G15" s="11">
        <f>F15+J15</f>
        <v>33.041549999999994</v>
      </c>
      <c r="H15" s="25">
        <v>-522.25</v>
      </c>
      <c r="I15" s="25">
        <v>4000.38</v>
      </c>
      <c r="J15">
        <f>51.5198-8.91825</f>
        <v>42.601549999999996</v>
      </c>
      <c r="L15">
        <v>4000</v>
      </c>
      <c r="M15">
        <f>G15/10+F16*3/10</f>
        <v>3.5111549999999991</v>
      </c>
      <c r="N15">
        <f>H15</f>
        <v>-522.25</v>
      </c>
      <c r="O15">
        <f t="shared" si="2"/>
        <v>1136.8900000000001</v>
      </c>
      <c r="P15">
        <f t="shared" si="3"/>
        <v>4000.38</v>
      </c>
      <c r="Q15">
        <f>F16/10</f>
        <v>6.8999999999999992E-2</v>
      </c>
      <c r="R15">
        <f>H16</f>
        <v>1.1000000000000001</v>
      </c>
      <c r="S15">
        <v>0</v>
      </c>
      <c r="T15">
        <f>I16</f>
        <v>1.06</v>
      </c>
      <c r="U15" s="45">
        <v>4.1675399999999998</v>
      </c>
      <c r="V15" s="21" t="s">
        <v>26</v>
      </c>
      <c r="W15" s="43">
        <v>3.0225033177900002E-8</v>
      </c>
      <c r="X15" s="43">
        <v>2.07474793094E-8</v>
      </c>
      <c r="Y15" s="43">
        <v>5.6257281045299996E-9</v>
      </c>
      <c r="Z15" s="43">
        <v>1.07456359998E-8</v>
      </c>
      <c r="AA15" t="s">
        <v>27</v>
      </c>
    </row>
    <row r="16" spans="1:54">
      <c r="D16" s="61"/>
      <c r="F16" s="25">
        <v>0.69</v>
      </c>
      <c r="H16" s="25">
        <v>1.1000000000000001</v>
      </c>
      <c r="I16" s="25">
        <v>1.06</v>
      </c>
      <c r="L16" s="46"/>
      <c r="M16" s="46"/>
      <c r="N16" s="46"/>
      <c r="O16" s="46"/>
      <c r="P16" s="46"/>
      <c r="Q16" s="46"/>
      <c r="R16" s="46"/>
      <c r="S16" s="46"/>
      <c r="T16" s="46"/>
    </row>
    <row r="17" spans="1:27">
      <c r="A17" t="s">
        <v>28</v>
      </c>
      <c r="D17" s="61">
        <v>981.86</v>
      </c>
      <c r="F17" s="25">
        <v>45.45</v>
      </c>
      <c r="G17" s="11">
        <f>F17+J17</f>
        <v>91.3339</v>
      </c>
      <c r="H17" s="25">
        <v>-523.84</v>
      </c>
      <c r="I17" s="25">
        <v>4000</v>
      </c>
      <c r="J17">
        <f>85.2498-39.3659</f>
        <v>45.88389999999999</v>
      </c>
      <c r="L17">
        <v>4000</v>
      </c>
      <c r="M17">
        <f>G17/10+F18*1.5/10</f>
        <v>9.8188899999999997</v>
      </c>
      <c r="N17">
        <f>H17</f>
        <v>-523.84</v>
      </c>
      <c r="O17">
        <f>D17</f>
        <v>981.86</v>
      </c>
      <c r="P17">
        <f>I17</f>
        <v>4000</v>
      </c>
      <c r="Q17">
        <f>F18/10</f>
        <v>0.45700000000000002</v>
      </c>
      <c r="R17">
        <f>H18</f>
        <v>0.88</v>
      </c>
      <c r="S17">
        <v>0</v>
      </c>
      <c r="T17">
        <f>I18</f>
        <v>0.9</v>
      </c>
      <c r="U17" s="45">
        <v>5.23874</v>
      </c>
      <c r="V17" s="21" t="s">
        <v>29</v>
      </c>
      <c r="W17" s="43">
        <v>1.1986133673800001E-8</v>
      </c>
      <c r="X17" s="43">
        <v>1.4096025602100001E-8</v>
      </c>
      <c r="Y17" s="43">
        <v>6.6339218869700003E-9</v>
      </c>
      <c r="Z17" s="43">
        <v>9.3917487768500006E-9</v>
      </c>
      <c r="AA17" t="s">
        <v>27</v>
      </c>
    </row>
    <row r="18" spans="1:27">
      <c r="D18" s="61"/>
      <c r="F18" s="25">
        <v>4.57</v>
      </c>
      <c r="H18" s="25">
        <v>0.88</v>
      </c>
      <c r="I18" s="25">
        <v>0.9</v>
      </c>
      <c r="L18" s="46">
        <v>3000</v>
      </c>
      <c r="M18" s="46">
        <v>0</v>
      </c>
      <c r="N18" s="46">
        <v>0</v>
      </c>
      <c r="O18" s="46">
        <v>1255.889183</v>
      </c>
      <c r="P18" s="46">
        <v>3000</v>
      </c>
    </row>
    <row r="19" spans="1:27">
      <c r="A19" t="s">
        <v>30</v>
      </c>
      <c r="D19" s="61">
        <v>930.19</v>
      </c>
      <c r="F19" s="25">
        <v>75.87</v>
      </c>
      <c r="G19" s="11">
        <f>F19+J19</f>
        <v>124.3626</v>
      </c>
      <c r="H19" s="25">
        <v>-524.85</v>
      </c>
      <c r="I19" s="25">
        <v>4000.19</v>
      </c>
      <c r="J19">
        <f>111.082-62.5894</f>
        <v>48.492599999999996</v>
      </c>
      <c r="L19">
        <v>4000</v>
      </c>
      <c r="M19">
        <f>G19/10+F20*1.5/10</f>
        <v>12.829260000000001</v>
      </c>
      <c r="N19">
        <f>H19</f>
        <v>-524.85</v>
      </c>
      <c r="O19">
        <f>D19</f>
        <v>930.19</v>
      </c>
      <c r="P19">
        <f>I19</f>
        <v>4000.19</v>
      </c>
      <c r="Q19">
        <f>F20/10</f>
        <v>0.26200000000000001</v>
      </c>
      <c r="R19">
        <f>H20</f>
        <v>1.08</v>
      </c>
      <c r="S19">
        <v>0</v>
      </c>
      <c r="T19">
        <f>I20</f>
        <v>0.6</v>
      </c>
      <c r="U19" s="45">
        <v>6.4316000000000004</v>
      </c>
      <c r="V19" s="21" t="s">
        <v>31</v>
      </c>
    </row>
    <row r="20" spans="1:27">
      <c r="D20" s="61"/>
      <c r="F20" s="25">
        <v>2.62</v>
      </c>
      <c r="H20" s="25">
        <v>1.08</v>
      </c>
      <c r="I20" s="25">
        <v>0.6</v>
      </c>
    </row>
    <row r="21" spans="1:27">
      <c r="A21" t="s">
        <v>32</v>
      </c>
      <c r="D21" s="61">
        <v>826.83</v>
      </c>
      <c r="F21" s="25">
        <v>179.74</v>
      </c>
      <c r="G21" s="11">
        <f>F21+J21</f>
        <v>232.72200000000001</v>
      </c>
      <c r="H21" s="25">
        <v>-523.23</v>
      </c>
      <c r="I21" s="25">
        <v>3999.66</v>
      </c>
      <c r="J21">
        <f>219.901-166.919</f>
        <v>52.981999999999999</v>
      </c>
      <c r="L21">
        <v>4000</v>
      </c>
      <c r="M21">
        <f>G21/10</f>
        <v>23.272200000000002</v>
      </c>
      <c r="N21">
        <f>H21</f>
        <v>-523.23</v>
      </c>
      <c r="O21">
        <f>D21</f>
        <v>826.83</v>
      </c>
      <c r="P21">
        <f>I21</f>
        <v>3999.66</v>
      </c>
      <c r="Q21">
        <f>F22/10</f>
        <v>0.311</v>
      </c>
      <c r="R21">
        <f>H22</f>
        <v>0.52</v>
      </c>
      <c r="S21">
        <v>0</v>
      </c>
      <c r="T21">
        <f>I22</f>
        <v>0.85</v>
      </c>
      <c r="U21" s="45">
        <v>6.1685999999999996</v>
      </c>
      <c r="V21" s="21" t="s">
        <v>33</v>
      </c>
      <c r="W21" s="43">
        <v>1.6116099511999999E-8</v>
      </c>
      <c r="X21" s="43">
        <v>1.5069089236000002E-8</v>
      </c>
      <c r="Y21" s="43">
        <v>4.9298780373300003E-9</v>
      </c>
      <c r="Z21" s="43">
        <v>8.2733934268500002E-9</v>
      </c>
      <c r="AA21" t="s">
        <v>34</v>
      </c>
    </row>
    <row r="22" spans="1:27">
      <c r="D22" s="61"/>
      <c r="F22" s="25">
        <v>3.11</v>
      </c>
      <c r="H22" s="25">
        <v>0.52</v>
      </c>
      <c r="I22" s="25">
        <v>0.85</v>
      </c>
    </row>
    <row r="23" spans="1:27">
      <c r="A23" t="s">
        <v>35</v>
      </c>
      <c r="D23" s="61">
        <v>723.48</v>
      </c>
      <c r="F23" s="25">
        <v>367.26</v>
      </c>
      <c r="G23" s="11">
        <f>F23+J23</f>
        <v>426.98599999999999</v>
      </c>
      <c r="H23" s="25">
        <v>-515.36</v>
      </c>
      <c r="I23" s="25">
        <v>3999.84</v>
      </c>
      <c r="J23">
        <f>418.612-358.886</f>
        <v>59.725999999999999</v>
      </c>
      <c r="L23">
        <v>4000</v>
      </c>
      <c r="M23">
        <f>G23/10</f>
        <v>42.698599999999999</v>
      </c>
      <c r="N23">
        <f>H23</f>
        <v>-515.36</v>
      </c>
      <c r="O23">
        <f>D23</f>
        <v>723.48</v>
      </c>
      <c r="P23">
        <f>I23</f>
        <v>3999.84</v>
      </c>
      <c r="Q23">
        <f>F24/10</f>
        <v>0.183</v>
      </c>
      <c r="R23">
        <f>H24</f>
        <v>0.41</v>
      </c>
      <c r="S23">
        <v>0</v>
      </c>
      <c r="T23">
        <f>I24</f>
        <v>1.62</v>
      </c>
      <c r="U23" s="44">
        <v>7.1189999999999998</v>
      </c>
      <c r="V23" s="21" t="s">
        <v>36</v>
      </c>
      <c r="W23" s="43">
        <v>7.0149783808100004E-9</v>
      </c>
      <c r="X23" s="43">
        <v>3.43702812391E-9</v>
      </c>
      <c r="Y23" s="43">
        <v>3.8809545405E-9</v>
      </c>
      <c r="Z23" s="43">
        <v>6.0092877672000001E-9</v>
      </c>
      <c r="AA23" t="s">
        <v>37</v>
      </c>
    </row>
    <row r="24" spans="1:27">
      <c r="D24" s="61"/>
      <c r="F24" s="25">
        <v>1.83</v>
      </c>
      <c r="H24" s="25">
        <v>0.41</v>
      </c>
      <c r="I24" s="25">
        <v>1.62</v>
      </c>
    </row>
    <row r="25" spans="1:27">
      <c r="A25" t="s">
        <v>38</v>
      </c>
      <c r="D25" s="61">
        <v>620.12</v>
      </c>
      <c r="F25" s="25">
        <v>740.5</v>
      </c>
      <c r="G25" s="11">
        <f>F25+J25</f>
        <v>816.61899999999991</v>
      </c>
      <c r="H25" s="25">
        <v>-494.21</v>
      </c>
      <c r="I25" s="25">
        <v>3999.22</v>
      </c>
      <c r="J25">
        <f>813.627-737.508</f>
        <v>76.118999999999915</v>
      </c>
      <c r="L25">
        <v>4000</v>
      </c>
      <c r="M25">
        <f>G25/10</f>
        <v>81.661899999999989</v>
      </c>
      <c r="N25">
        <f>H25</f>
        <v>-494.21</v>
      </c>
      <c r="O25">
        <f>D25</f>
        <v>620.12</v>
      </c>
      <c r="P25">
        <f>I25</f>
        <v>3999.22</v>
      </c>
      <c r="Q25">
        <f>F26/10</f>
        <v>0.38400000000000001</v>
      </c>
      <c r="R25">
        <f>H26</f>
        <v>0.87</v>
      </c>
      <c r="S25">
        <v>0</v>
      </c>
      <c r="T25">
        <f>I26</f>
        <v>1.72</v>
      </c>
      <c r="U25" s="45">
        <v>7.1550000000000002</v>
      </c>
      <c r="V25" s="21" t="s">
        <v>39</v>
      </c>
      <c r="W25" s="43">
        <v>2.6983539664599999E-9</v>
      </c>
      <c r="X25" s="43">
        <v>2.3561353901599999E-9</v>
      </c>
      <c r="Y25" s="43">
        <v>9.7264307752100002E-10</v>
      </c>
      <c r="Z25" s="43">
        <v>3.1821725937299999E-9</v>
      </c>
    </row>
    <row r="26" spans="1:27">
      <c r="D26" s="61"/>
      <c r="F26" s="25">
        <v>3.84</v>
      </c>
      <c r="H26" s="25">
        <v>0.87</v>
      </c>
      <c r="I26" s="25">
        <v>1.72</v>
      </c>
    </row>
    <row r="27" spans="1:27">
      <c r="A27" t="s">
        <v>40</v>
      </c>
      <c r="D27" s="61">
        <v>542.61</v>
      </c>
      <c r="F27" s="25">
        <v>1290.0999999999999</v>
      </c>
      <c r="G27" s="11">
        <f>F27+J27</f>
        <v>1372.2499999999998</v>
      </c>
      <c r="H27" s="25">
        <v>-466.46</v>
      </c>
      <c r="I27" s="25">
        <v>4000.46</v>
      </c>
      <c r="J27">
        <f>1365.82-1283.67</f>
        <v>82.149999999999864</v>
      </c>
      <c r="L27">
        <v>4000</v>
      </c>
      <c r="M27">
        <f>G27/10+F28/10</f>
        <v>137.64299999999997</v>
      </c>
      <c r="N27">
        <f>H27</f>
        <v>-466.46</v>
      </c>
      <c r="O27">
        <f>D27</f>
        <v>542.61</v>
      </c>
      <c r="P27">
        <f>I27</f>
        <v>4000.46</v>
      </c>
      <c r="Q27">
        <f>F28/10</f>
        <v>0.41799999999999998</v>
      </c>
      <c r="R27">
        <f>H28</f>
        <v>0.51</v>
      </c>
      <c r="S27">
        <v>0</v>
      </c>
      <c r="T27">
        <f>I28</f>
        <v>1.01</v>
      </c>
      <c r="U27" s="45">
        <v>7.2110000000000003</v>
      </c>
      <c r="V27" s="21" t="s">
        <v>41</v>
      </c>
      <c r="W27" s="43">
        <v>1.7326722509199999E-10</v>
      </c>
      <c r="X27" s="43">
        <v>1.83131255621E-10</v>
      </c>
      <c r="Y27" s="43">
        <v>1.4522755610700001E-10</v>
      </c>
      <c r="Z27" s="43">
        <v>4.4121032012699998E-10</v>
      </c>
      <c r="AA27" t="s">
        <v>42</v>
      </c>
    </row>
    <row r="28" spans="1:27">
      <c r="D28" s="61"/>
      <c r="F28" s="25">
        <v>4.18</v>
      </c>
      <c r="H28" s="25">
        <v>0.51</v>
      </c>
      <c r="I28" s="25">
        <v>1.01</v>
      </c>
      <c r="L28" s="46">
        <v>4000</v>
      </c>
      <c r="M28" s="46">
        <v>0</v>
      </c>
      <c r="N28" s="46">
        <v>0</v>
      </c>
      <c r="O28" s="46">
        <f>1420-35</f>
        <v>1385</v>
      </c>
      <c r="P28" s="46">
        <v>4000</v>
      </c>
      <c r="Q28">
        <v>0</v>
      </c>
      <c r="R28">
        <v>0</v>
      </c>
      <c r="S28">
        <v>0</v>
      </c>
      <c r="T28">
        <v>0</v>
      </c>
      <c r="U28" t="s">
        <v>43</v>
      </c>
    </row>
    <row r="29" spans="1:27">
      <c r="A29" t="s">
        <v>44</v>
      </c>
      <c r="D29" s="21">
        <v>1136.8900000000001</v>
      </c>
      <c r="F29" s="25">
        <v>-27.36</v>
      </c>
      <c r="G29" s="11">
        <f>F29+J29</f>
        <v>15.342100000000002</v>
      </c>
      <c r="H29" s="25">
        <v>-554.51</v>
      </c>
      <c r="I29" s="25">
        <v>2500.0700000000002</v>
      </c>
      <c r="J29">
        <f>17.0307--25.6714</f>
        <v>42.702100000000002</v>
      </c>
      <c r="L29">
        <v>2500</v>
      </c>
      <c r="M29">
        <f>G29/10</f>
        <v>1.5342100000000003</v>
      </c>
      <c r="N29">
        <f>H29</f>
        <v>-554.51</v>
      </c>
      <c r="O29">
        <f>D29</f>
        <v>1136.8900000000001</v>
      </c>
      <c r="P29">
        <f>I29</f>
        <v>2500.0700000000002</v>
      </c>
      <c r="Q29">
        <f>F30/10</f>
        <v>0.27500000000000002</v>
      </c>
      <c r="R29">
        <f>H30</f>
        <v>0.46</v>
      </c>
      <c r="S29">
        <v>0</v>
      </c>
      <c r="T29">
        <f>I30</f>
        <v>0.76</v>
      </c>
      <c r="U29" s="45">
        <v>4.6135200000000003</v>
      </c>
      <c r="V29" s="21" t="s">
        <v>45</v>
      </c>
    </row>
    <row r="30" spans="1:27">
      <c r="D30" s="61"/>
      <c r="F30" s="25">
        <v>2.75</v>
      </c>
      <c r="H30" s="25">
        <v>0.46</v>
      </c>
      <c r="I30" s="25">
        <v>0.76</v>
      </c>
    </row>
    <row r="31" spans="1:27">
      <c r="A31" t="s">
        <v>46</v>
      </c>
      <c r="D31" s="21">
        <v>981.86</v>
      </c>
      <c r="F31" s="25">
        <v>19.64</v>
      </c>
      <c r="G31" s="11">
        <f>F31+J31</f>
        <v>65.410599999999988</v>
      </c>
      <c r="H31" s="25">
        <v>-555.83000000000004</v>
      </c>
      <c r="I31" s="25">
        <v>2499.92</v>
      </c>
      <c r="J31">
        <f>67.3513-21.5807</f>
        <v>45.770599999999995</v>
      </c>
      <c r="L31">
        <v>2500</v>
      </c>
      <c r="M31">
        <f>G31/10</f>
        <v>6.541059999999999</v>
      </c>
      <c r="N31">
        <f>H31</f>
        <v>-555.83000000000004</v>
      </c>
      <c r="O31">
        <f>D31</f>
        <v>981.86</v>
      </c>
      <c r="P31">
        <f>I31</f>
        <v>2499.92</v>
      </c>
      <c r="Q31">
        <f>F32/10</f>
        <v>0.32700000000000001</v>
      </c>
      <c r="R31">
        <f>H32</f>
        <v>0.2</v>
      </c>
      <c r="S31">
        <v>0</v>
      </c>
      <c r="T31">
        <f>I32</f>
        <v>1.1299999999999999</v>
      </c>
      <c r="U31" s="45">
        <v>5.18696</v>
      </c>
      <c r="V31" s="21" t="s">
        <v>47</v>
      </c>
    </row>
    <row r="32" spans="1:27">
      <c r="D32" s="61"/>
      <c r="F32" s="25">
        <v>3.27</v>
      </c>
      <c r="H32" s="25">
        <v>0.2</v>
      </c>
      <c r="I32" s="25">
        <v>1.1299999999999999</v>
      </c>
    </row>
    <row r="33" spans="1:22">
      <c r="A33" t="s">
        <v>48</v>
      </c>
      <c r="D33" s="61">
        <f>D19</f>
        <v>930.19</v>
      </c>
      <c r="F33" s="25">
        <v>48.01</v>
      </c>
      <c r="G33" s="11">
        <f>F33+J33</f>
        <v>96.588700000000003</v>
      </c>
      <c r="H33" s="25">
        <v>-554.53</v>
      </c>
      <c r="I33" s="25">
        <v>2499.88</v>
      </c>
      <c r="J33">
        <f>98.7202-50.1415</f>
        <v>48.578700000000005</v>
      </c>
      <c r="L33">
        <v>2500</v>
      </c>
      <c r="M33">
        <f>G33/10-F36/10*2</f>
        <v>9.1228700000000007</v>
      </c>
      <c r="N33">
        <f>H33</f>
        <v>-554.53</v>
      </c>
      <c r="O33">
        <f>D33</f>
        <v>930.19</v>
      </c>
      <c r="P33">
        <f>I33</f>
        <v>2499.88</v>
      </c>
      <c r="Q33">
        <f>F34/10</f>
        <v>0.29100000000000004</v>
      </c>
      <c r="R33">
        <f>H34</f>
        <v>0.34</v>
      </c>
      <c r="S33">
        <v>0</v>
      </c>
      <c r="T33">
        <f>I34</f>
        <v>0.76</v>
      </c>
      <c r="U33" s="45">
        <v>5.8584800000000001</v>
      </c>
      <c r="V33" s="45" t="s">
        <v>49</v>
      </c>
    </row>
    <row r="34" spans="1:22">
      <c r="D34" s="61"/>
      <c r="F34" s="25">
        <v>2.91</v>
      </c>
      <c r="H34" s="25">
        <v>0.34</v>
      </c>
      <c r="I34" s="25">
        <v>0.76</v>
      </c>
    </row>
    <row r="35" spans="1:22">
      <c r="A35" t="s">
        <v>50</v>
      </c>
      <c r="D35" s="61">
        <f>D21</f>
        <v>826.83</v>
      </c>
      <c r="F35" s="25">
        <v>118.24</v>
      </c>
      <c r="G35" s="11">
        <f>F35+J35</f>
        <v>169.315</v>
      </c>
      <c r="H35" s="25">
        <v>-550.52</v>
      </c>
      <c r="I35" s="25">
        <v>2499.8000000000002</v>
      </c>
      <c r="J35">
        <f>157.092-106.017</f>
        <v>51.075000000000017</v>
      </c>
      <c r="L35">
        <v>2500</v>
      </c>
      <c r="M35">
        <f>G35/10-F36/10</f>
        <v>16.663499999999999</v>
      </c>
      <c r="N35">
        <f>H35</f>
        <v>-550.52</v>
      </c>
      <c r="O35">
        <f>D35</f>
        <v>826.83</v>
      </c>
      <c r="P35">
        <f>I35</f>
        <v>2499.8000000000002</v>
      </c>
      <c r="Q35">
        <f>F36/10</f>
        <v>0.26800000000000002</v>
      </c>
      <c r="R35">
        <f>H36</f>
        <v>0.88</v>
      </c>
      <c r="S35">
        <v>0</v>
      </c>
      <c r="T35">
        <f>I36</f>
        <v>0.49</v>
      </c>
      <c r="U35" s="45">
        <v>5.8827400000000001</v>
      </c>
      <c r="V35" s="45" t="s">
        <v>51</v>
      </c>
    </row>
    <row r="36" spans="1:22">
      <c r="D36" s="61"/>
      <c r="F36" s="25">
        <v>2.68</v>
      </c>
      <c r="H36" s="25">
        <v>0.88</v>
      </c>
      <c r="I36" s="25">
        <v>0.49</v>
      </c>
    </row>
    <row r="37" spans="1:22">
      <c r="A37" t="s">
        <v>52</v>
      </c>
      <c r="D37" s="61">
        <f>D23</f>
        <v>723.48</v>
      </c>
      <c r="F37" s="25">
        <v>263.35000000000002</v>
      </c>
      <c r="G37" s="11">
        <f>F37+J37</f>
        <v>322.536</v>
      </c>
      <c r="H37" s="25">
        <v>-541.92999999999995</v>
      </c>
      <c r="I37" s="25">
        <v>2500.52</v>
      </c>
      <c r="J37">
        <f>322.388-263.202</f>
        <v>59.185999999999979</v>
      </c>
      <c r="L37">
        <v>2500</v>
      </c>
      <c r="M37">
        <f>G37/10</f>
        <v>32.253599999999999</v>
      </c>
      <c r="N37">
        <f>H37</f>
        <v>-541.92999999999995</v>
      </c>
      <c r="O37">
        <f>D37</f>
        <v>723.48</v>
      </c>
      <c r="P37">
        <f>I37</f>
        <v>2500.52</v>
      </c>
      <c r="Q37">
        <f>F38/10</f>
        <v>0.23199999999999998</v>
      </c>
      <c r="R37">
        <f>H38</f>
        <v>0.98</v>
      </c>
      <c r="S37">
        <v>0</v>
      </c>
      <c r="T37">
        <f>I38</f>
        <v>0.96</v>
      </c>
      <c r="U37" s="45">
        <v>7.1479999999999997</v>
      </c>
      <c r="V37" s="45" t="s">
        <v>53</v>
      </c>
    </row>
    <row r="38" spans="1:22">
      <c r="D38" s="61"/>
      <c r="F38" s="25">
        <v>2.3199999999999998</v>
      </c>
      <c r="H38" s="25">
        <v>0.98</v>
      </c>
      <c r="I38" s="25">
        <v>0.96</v>
      </c>
    </row>
    <row r="39" spans="1:22">
      <c r="D39" s="21"/>
      <c r="F39" s="25"/>
      <c r="H39" s="25"/>
      <c r="I39" s="25"/>
    </row>
    <row r="40" spans="1:22">
      <c r="D40" s="21"/>
      <c r="F40" s="25"/>
      <c r="H40" s="25"/>
      <c r="I40" s="25"/>
    </row>
    <row r="41" spans="1:22">
      <c r="A41" t="s">
        <v>54</v>
      </c>
      <c r="D41" s="73">
        <v>620.12</v>
      </c>
      <c r="F41" s="25">
        <v>635.92999999999995</v>
      </c>
      <c r="G41" s="11">
        <f>F41+J41</f>
        <v>715.30599999999993</v>
      </c>
      <c r="H41" s="25">
        <v>-516.6</v>
      </c>
      <c r="I41" s="25">
        <v>3000.55</v>
      </c>
      <c r="J41">
        <f>722.59-643.214</f>
        <v>79.375999999999976</v>
      </c>
      <c r="L41">
        <v>3000</v>
      </c>
      <c r="M41">
        <f>G41/10</f>
        <v>71.530599999999993</v>
      </c>
      <c r="N41">
        <f>H41</f>
        <v>-516.6</v>
      </c>
      <c r="O41">
        <f>D41</f>
        <v>620.12</v>
      </c>
      <c r="P41">
        <f>I41</f>
        <v>3000.55</v>
      </c>
      <c r="Q41">
        <f>F42/10</f>
        <v>0.35299999999999998</v>
      </c>
      <c r="R41">
        <f>H42</f>
        <v>0.67</v>
      </c>
      <c r="S41">
        <v>0</v>
      </c>
      <c r="T41">
        <f>I42</f>
        <v>1.36</v>
      </c>
      <c r="U41" s="45">
        <v>7.79108</v>
      </c>
      <c r="V41" s="21" t="s">
        <v>55</v>
      </c>
    </row>
    <row r="42" spans="1:22">
      <c r="D42" s="21"/>
      <c r="F42" s="25">
        <v>3.53</v>
      </c>
      <c r="H42" s="25">
        <v>0.67</v>
      </c>
      <c r="I42" s="25">
        <v>1.36</v>
      </c>
    </row>
    <row r="43" spans="1:22">
      <c r="A43" t="s">
        <v>56</v>
      </c>
      <c r="D43" s="72">
        <v>568.45000000000005</v>
      </c>
      <c r="F43" s="25">
        <v>986.58</v>
      </c>
      <c r="G43" s="11">
        <f>F43+J43</f>
        <v>1061.8710000000001</v>
      </c>
      <c r="H43" s="25">
        <v>-497.48</v>
      </c>
      <c r="I43" s="25">
        <v>3000.28</v>
      </c>
      <c r="J43">
        <f>1072.3-997.009</f>
        <v>75.29099999999994</v>
      </c>
      <c r="L43">
        <v>3000</v>
      </c>
      <c r="M43">
        <f>G43/10</f>
        <v>106.18710000000002</v>
      </c>
      <c r="N43">
        <f>H43</f>
        <v>-497.48</v>
      </c>
      <c r="O43">
        <f>D43</f>
        <v>568.45000000000005</v>
      </c>
      <c r="P43">
        <f>I43</f>
        <v>3000.28</v>
      </c>
      <c r="Q43">
        <f>F44/10</f>
        <v>9.9000000000000005E-2</v>
      </c>
      <c r="R43">
        <f>H44</f>
        <v>0.06</v>
      </c>
      <c r="S43">
        <v>0</v>
      </c>
      <c r="T43">
        <f>I44</f>
        <v>0.59</v>
      </c>
      <c r="U43" s="45">
        <v>7.8110400000000002</v>
      </c>
      <c r="V43" s="21" t="s">
        <v>57</v>
      </c>
    </row>
    <row r="44" spans="1:22">
      <c r="D44" s="21"/>
      <c r="F44" s="25">
        <v>0.99</v>
      </c>
      <c r="H44" s="25">
        <v>0.06</v>
      </c>
      <c r="I44" s="25">
        <v>0.59</v>
      </c>
    </row>
    <row r="45" spans="1:22">
      <c r="A45" t="s">
        <v>58</v>
      </c>
      <c r="D45" s="75">
        <v>723.48</v>
      </c>
      <c r="F45" s="25">
        <v>289.39999999999998</v>
      </c>
      <c r="G45" s="11">
        <f>F45+J45</f>
        <v>351.863</v>
      </c>
      <c r="H45" s="25">
        <v>-537.77</v>
      </c>
      <c r="I45" s="25">
        <v>2999.18</v>
      </c>
      <c r="J45">
        <f>321.44-258.977</f>
        <v>62.463000000000022</v>
      </c>
      <c r="L45">
        <v>3000</v>
      </c>
      <c r="M45">
        <f>G45/10</f>
        <v>35.186300000000003</v>
      </c>
      <c r="N45">
        <f>H45</f>
        <v>-537.77</v>
      </c>
      <c r="O45">
        <f>D45</f>
        <v>723.48</v>
      </c>
      <c r="P45">
        <f>I45</f>
        <v>2999.18</v>
      </c>
      <c r="Q45">
        <f>F46/10</f>
        <v>0.36099999999999999</v>
      </c>
      <c r="R45">
        <f>H46</f>
        <v>0.6</v>
      </c>
      <c r="S45">
        <v>0</v>
      </c>
      <c r="T45">
        <f>I46</f>
        <v>1.04</v>
      </c>
      <c r="U45" s="45">
        <v>7.5116199999999997</v>
      </c>
      <c r="V45" s="21" t="s">
        <v>59</v>
      </c>
    </row>
    <row r="46" spans="1:22">
      <c r="F46" s="25">
        <v>3.61</v>
      </c>
      <c r="H46" s="25">
        <v>0.6</v>
      </c>
      <c r="I46" s="25">
        <v>1.04</v>
      </c>
    </row>
    <row r="47" spans="1:22">
      <c r="D47" s="21"/>
      <c r="G47" s="30"/>
      <c r="I47" s="28"/>
    </row>
    <row r="48" spans="1:22">
      <c r="A48">
        <v>2000</v>
      </c>
      <c r="D48" s="21"/>
      <c r="G48" s="30"/>
      <c r="I48" s="28"/>
    </row>
    <row r="49" spans="1:54">
      <c r="A49" t="s">
        <v>60</v>
      </c>
      <c r="D49" s="21">
        <v>981.86</v>
      </c>
      <c r="F49" s="25">
        <v>5.57</v>
      </c>
      <c r="G49" s="11">
        <f>F49+J49</f>
        <v>53.552749999999996</v>
      </c>
      <c r="H49" s="25">
        <v>-563.6</v>
      </c>
      <c r="I49" s="25">
        <v>1999.45</v>
      </c>
      <c r="J49">
        <f>51.0076-3.02485</f>
        <v>47.982749999999996</v>
      </c>
      <c r="L49">
        <v>2000</v>
      </c>
      <c r="M49">
        <f>G49/10-F50/10</f>
        <v>5.2072750000000001</v>
      </c>
      <c r="N49">
        <f>H49</f>
        <v>-563.6</v>
      </c>
      <c r="O49">
        <f>D49</f>
        <v>981.86</v>
      </c>
      <c r="P49">
        <f>I49</f>
        <v>1999.45</v>
      </c>
      <c r="Q49">
        <f>F50/10</f>
        <v>0.14799999999999999</v>
      </c>
      <c r="R49">
        <f>H50</f>
        <v>0.73</v>
      </c>
      <c r="S49">
        <v>0</v>
      </c>
      <c r="T49">
        <f>I50</f>
        <v>0.28999999999999998</v>
      </c>
      <c r="U49" s="45">
        <v>4.8698399999999999</v>
      </c>
      <c r="V49" s="21" t="s">
        <v>61</v>
      </c>
    </row>
    <row r="50" spans="1:54">
      <c r="D50" s="21"/>
      <c r="F50" s="25">
        <v>1.48</v>
      </c>
      <c r="H50" s="25">
        <v>0.73</v>
      </c>
      <c r="I50" s="25">
        <v>0.28999999999999998</v>
      </c>
    </row>
    <row r="51" spans="1:54">
      <c r="A51" t="s">
        <v>62</v>
      </c>
      <c r="D51" s="21">
        <v>1136.8900000000001</v>
      </c>
      <c r="F51" s="25">
        <v>-40.71</v>
      </c>
      <c r="G51" s="11">
        <f>F51+J51</f>
        <v>10.052249999999994</v>
      </c>
      <c r="H51" s="25">
        <v>-564.76</v>
      </c>
      <c r="I51" s="25">
        <v>2000.13</v>
      </c>
      <c r="J51">
        <f>7.86205--42.9002</f>
        <v>50.762249999999995</v>
      </c>
      <c r="K51" t="s">
        <v>63</v>
      </c>
      <c r="L51">
        <v>2000</v>
      </c>
      <c r="M51">
        <f>G51/10-F52/10*1.5</f>
        <v>0.7952249999999994</v>
      </c>
      <c r="N51">
        <f>H51</f>
        <v>-564.76</v>
      </c>
      <c r="O51">
        <f>D51</f>
        <v>1136.8900000000001</v>
      </c>
      <c r="P51">
        <f>I51</f>
        <v>2000.13</v>
      </c>
      <c r="Q51">
        <f>F52/10</f>
        <v>0.13999999999999999</v>
      </c>
      <c r="R51">
        <f>H52</f>
        <v>0.21</v>
      </c>
      <c r="S51">
        <v>0</v>
      </c>
      <c r="T51">
        <f>I52</f>
        <v>0.7</v>
      </c>
      <c r="U51" s="45">
        <v>4.2995400000000004</v>
      </c>
      <c r="V51" s="21" t="s">
        <v>64</v>
      </c>
    </row>
    <row r="52" spans="1:54">
      <c r="D52" s="21"/>
      <c r="F52" s="25">
        <v>1.4</v>
      </c>
      <c r="H52" s="25">
        <v>0.21</v>
      </c>
      <c r="I52" s="25">
        <v>0.7</v>
      </c>
    </row>
    <row r="53" spans="1:54">
      <c r="A53" t="s">
        <v>65</v>
      </c>
      <c r="D53" s="21">
        <v>826.83</v>
      </c>
      <c r="F53" s="25">
        <v>100.17</v>
      </c>
      <c r="G53" s="11">
        <f>F53+J53</f>
        <v>153.386</v>
      </c>
      <c r="H53" s="25">
        <v>-558.49</v>
      </c>
      <c r="I53" s="25">
        <v>2000.15</v>
      </c>
      <c r="J53">
        <f>175.178-121.962</f>
        <v>53.215999999999994</v>
      </c>
      <c r="L53">
        <v>2000</v>
      </c>
      <c r="M53">
        <f>G53/10</f>
        <v>15.3386</v>
      </c>
      <c r="N53">
        <f>H53</f>
        <v>-558.49</v>
      </c>
      <c r="O53">
        <f>D53</f>
        <v>826.83</v>
      </c>
      <c r="P53">
        <f>I53</f>
        <v>2000.15</v>
      </c>
      <c r="Q53">
        <f>F54/10</f>
        <v>0.41399999999999998</v>
      </c>
      <c r="R53">
        <f>H54</f>
        <v>0.23</v>
      </c>
      <c r="S53">
        <v>0</v>
      </c>
      <c r="T53">
        <f>I54</f>
        <v>1.06</v>
      </c>
      <c r="U53" s="45">
        <v>6.2725600000000004</v>
      </c>
      <c r="V53" s="21" t="s">
        <v>66</v>
      </c>
    </row>
    <row r="54" spans="1:54">
      <c r="D54" s="21"/>
      <c r="F54" s="25">
        <v>4.1399999999999997</v>
      </c>
      <c r="H54" s="25">
        <v>0.23</v>
      </c>
      <c r="I54" s="25">
        <v>1.06</v>
      </c>
    </row>
    <row r="55" spans="1:54">
      <c r="D55" s="21"/>
      <c r="G55" s="30"/>
      <c r="I55" s="28"/>
    </row>
    <row r="56" spans="1:54">
      <c r="D56" s="21"/>
      <c r="G56" s="30"/>
      <c r="I56" s="28"/>
    </row>
    <row r="57" spans="1:54">
      <c r="D57" s="21"/>
      <c r="G57" s="30"/>
      <c r="I57" s="28"/>
    </row>
    <row r="58" spans="1:54">
      <c r="D58" s="21"/>
      <c r="G58" s="30"/>
      <c r="I58" s="28"/>
    </row>
    <row r="59" spans="1:54">
      <c r="D59" s="21"/>
      <c r="G59" s="30"/>
      <c r="I59" s="28"/>
    </row>
    <row r="60" spans="1:54">
      <c r="D60" s="21"/>
      <c r="G60" s="30"/>
      <c r="I60" s="28"/>
    </row>
    <row r="61" spans="1:54">
      <c r="A61" s="66" t="s">
        <v>67</v>
      </c>
      <c r="B61" s="66"/>
      <c r="C61" s="66"/>
      <c r="D61" s="66" t="s">
        <v>1</v>
      </c>
      <c r="E61" s="66"/>
      <c r="F61" s="66"/>
      <c r="G61" s="100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6"/>
      <c r="AK61" s="66"/>
      <c r="AL61" s="66"/>
      <c r="AM61" s="66"/>
      <c r="AN61" s="66"/>
      <c r="AO61" s="66"/>
      <c r="AP61" s="66"/>
      <c r="AQ61" s="66"/>
      <c r="AR61" s="66"/>
      <c r="AS61" s="66"/>
      <c r="AT61" s="66"/>
      <c r="AU61" s="66"/>
      <c r="AV61" s="66"/>
      <c r="AW61" s="66"/>
      <c r="AX61" s="66"/>
      <c r="AY61" s="66"/>
      <c r="AZ61" s="66"/>
      <c r="BA61" s="66"/>
      <c r="BB61" s="66"/>
    </row>
    <row r="62" spans="1:54" s="66" customFormat="1">
      <c r="A62" s="1" t="s">
        <v>3</v>
      </c>
      <c r="B62" s="1" t="s">
        <v>4</v>
      </c>
      <c r="C62" s="1" t="s">
        <v>5</v>
      </c>
      <c r="D62" s="1" t="s">
        <v>6</v>
      </c>
      <c r="E62" s="1" t="s">
        <v>7</v>
      </c>
      <c r="F62" s="1" t="s">
        <v>8</v>
      </c>
      <c r="G62" s="11" t="s">
        <v>9</v>
      </c>
      <c r="H62" s="1"/>
      <c r="I62" s="1" t="s">
        <v>10</v>
      </c>
      <c r="J62" s="1" t="s">
        <v>11</v>
      </c>
      <c r="K62" s="1" t="s">
        <v>1</v>
      </c>
      <c r="L62" s="1" t="s">
        <v>6</v>
      </c>
      <c r="M62" s="1" t="s">
        <v>6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1:54" s="1" customFormat="1">
      <c r="A63" s="1">
        <v>0</v>
      </c>
      <c r="B63" s="1">
        <v>0</v>
      </c>
      <c r="C63" s="1">
        <v>12</v>
      </c>
      <c r="D63" s="1">
        <v>4</v>
      </c>
      <c r="E63" s="1">
        <v>16</v>
      </c>
      <c r="F63" s="1">
        <v>48</v>
      </c>
      <c r="G63" s="11"/>
      <c r="J63" s="1">
        <f>D63*72/G64</f>
        <v>0.16622800941958721</v>
      </c>
      <c r="K63" s="1">
        <f>D63/(C63+D63)</f>
        <v>0.25</v>
      </c>
      <c r="L63" s="5">
        <f>D63*2/(C63+D63+E63)</f>
        <v>0.25</v>
      </c>
      <c r="M63" s="1">
        <f>4/(C63+D63+E63)</f>
        <v>0.125</v>
      </c>
      <c r="N63" s="5"/>
    </row>
    <row r="64" spans="1:54" s="1" customFormat="1">
      <c r="A64" s="1">
        <v>1.02</v>
      </c>
      <c r="B64" s="1">
        <v>12.01</v>
      </c>
      <c r="C64" s="1">
        <v>24.31</v>
      </c>
      <c r="D64" s="1">
        <v>55.85</v>
      </c>
      <c r="E64" s="1">
        <v>28.09</v>
      </c>
      <c r="F64" s="1">
        <v>16</v>
      </c>
      <c r="G64" s="11">
        <f>A63*A64+B64*B63+C64*C63+D64*D63+E64*E63+F64*F63</f>
        <v>1732.56</v>
      </c>
      <c r="I64" s="2">
        <v>6.0220000000000003E+23</v>
      </c>
    </row>
    <row r="65" spans="1:22">
      <c r="D65" t="s">
        <v>12</v>
      </c>
      <c r="G65" s="11" t="s">
        <v>13</v>
      </c>
      <c r="H65" t="s">
        <v>14</v>
      </c>
      <c r="I65" t="s">
        <v>15</v>
      </c>
      <c r="J65" t="s">
        <v>16</v>
      </c>
      <c r="M65" s="83" t="s">
        <v>17</v>
      </c>
      <c r="N65" s="83" t="s">
        <v>18</v>
      </c>
      <c r="O65" s="83" t="s">
        <v>19</v>
      </c>
      <c r="P65" s="83" t="s">
        <v>15</v>
      </c>
      <c r="Q65" s="83" t="s">
        <v>20</v>
      </c>
      <c r="R65" s="83" t="s">
        <v>21</v>
      </c>
      <c r="S65" s="83" t="s">
        <v>22</v>
      </c>
      <c r="T65" s="83" t="s">
        <v>23</v>
      </c>
      <c r="V65" s="83" t="s">
        <v>24</v>
      </c>
    </row>
    <row r="66" spans="1:22">
      <c r="D66" s="61">
        <v>1033.54</v>
      </c>
      <c r="G66" s="30">
        <v>4.43</v>
      </c>
      <c r="I66" s="28">
        <v>3000</v>
      </c>
      <c r="L66">
        <v>3000</v>
      </c>
      <c r="M66">
        <f t="shared" ref="M66:N71" si="4">G66</f>
        <v>4.43</v>
      </c>
      <c r="N66">
        <f t="shared" si="4"/>
        <v>0</v>
      </c>
      <c r="O66">
        <f t="shared" ref="O66:O79" si="5">D66</f>
        <v>1033.54</v>
      </c>
      <c r="P66">
        <f t="shared" ref="P66:P79" si="6">I66</f>
        <v>3000</v>
      </c>
      <c r="Q66">
        <v>0</v>
      </c>
      <c r="R66">
        <v>0</v>
      </c>
      <c r="S66">
        <v>0</v>
      </c>
      <c r="T66">
        <v>0</v>
      </c>
    </row>
    <row r="67" spans="1:22">
      <c r="D67" s="61">
        <v>930.19</v>
      </c>
      <c r="G67" s="30">
        <v>8.74</v>
      </c>
      <c r="I67" s="28">
        <v>3000</v>
      </c>
      <c r="L67">
        <v>3000</v>
      </c>
      <c r="M67">
        <f t="shared" si="4"/>
        <v>8.74</v>
      </c>
      <c r="N67">
        <f t="shared" si="4"/>
        <v>0</v>
      </c>
      <c r="O67">
        <f t="shared" si="5"/>
        <v>930.19</v>
      </c>
      <c r="P67">
        <f t="shared" si="6"/>
        <v>3000</v>
      </c>
      <c r="Q67">
        <v>0</v>
      </c>
      <c r="R67">
        <v>0</v>
      </c>
      <c r="S67">
        <v>0</v>
      </c>
      <c r="T67">
        <v>0</v>
      </c>
    </row>
    <row r="68" spans="1:22">
      <c r="D68" s="61">
        <v>826.83</v>
      </c>
      <c r="G68" s="30">
        <v>17.48</v>
      </c>
      <c r="I68" s="28">
        <v>3000</v>
      </c>
      <c r="L68">
        <v>3000</v>
      </c>
      <c r="M68">
        <f t="shared" si="4"/>
        <v>17.48</v>
      </c>
      <c r="N68">
        <f t="shared" si="4"/>
        <v>0</v>
      </c>
      <c r="O68">
        <f t="shared" si="5"/>
        <v>826.83</v>
      </c>
      <c r="P68">
        <f t="shared" si="6"/>
        <v>3000</v>
      </c>
      <c r="Q68">
        <v>0</v>
      </c>
      <c r="R68">
        <v>0</v>
      </c>
      <c r="S68">
        <v>0</v>
      </c>
      <c r="T68">
        <v>0</v>
      </c>
    </row>
    <row r="69" spans="1:22">
      <c r="D69" s="61">
        <v>723.48</v>
      </c>
      <c r="G69" s="30">
        <v>32.93</v>
      </c>
      <c r="I69" s="28">
        <v>3000</v>
      </c>
      <c r="L69">
        <v>3000</v>
      </c>
      <c r="M69">
        <f t="shared" si="4"/>
        <v>32.93</v>
      </c>
      <c r="N69">
        <f t="shared" si="4"/>
        <v>0</v>
      </c>
      <c r="O69">
        <f t="shared" si="5"/>
        <v>723.48</v>
      </c>
      <c r="P69">
        <f t="shared" si="6"/>
        <v>3000</v>
      </c>
      <c r="Q69">
        <v>0</v>
      </c>
      <c r="R69">
        <v>0</v>
      </c>
      <c r="S69">
        <v>0</v>
      </c>
      <c r="T69">
        <v>0</v>
      </c>
    </row>
    <row r="70" spans="1:22">
      <c r="D70" s="61">
        <v>620.12</v>
      </c>
      <c r="G70" s="30">
        <v>64.16</v>
      </c>
      <c r="I70" s="28">
        <v>3000</v>
      </c>
      <c r="L70">
        <v>3000</v>
      </c>
      <c r="M70">
        <f t="shared" si="4"/>
        <v>64.16</v>
      </c>
      <c r="N70">
        <f t="shared" si="4"/>
        <v>0</v>
      </c>
      <c r="O70">
        <f t="shared" si="5"/>
        <v>620.12</v>
      </c>
      <c r="P70">
        <f t="shared" si="6"/>
        <v>3000</v>
      </c>
      <c r="Q70">
        <v>0</v>
      </c>
      <c r="R70">
        <v>0</v>
      </c>
      <c r="S70">
        <v>0</v>
      </c>
      <c r="T70">
        <v>0</v>
      </c>
    </row>
    <row r="71" spans="1:22">
      <c r="D71" s="61">
        <v>568.45000000000005</v>
      </c>
      <c r="G71" s="30">
        <v>95.26</v>
      </c>
      <c r="I71" s="28">
        <v>3000</v>
      </c>
      <c r="L71">
        <v>3000</v>
      </c>
      <c r="M71">
        <f t="shared" si="4"/>
        <v>95.26</v>
      </c>
      <c r="N71">
        <f t="shared" si="4"/>
        <v>0</v>
      </c>
      <c r="O71">
        <f t="shared" si="5"/>
        <v>568.45000000000005</v>
      </c>
      <c r="P71">
        <f t="shared" si="6"/>
        <v>3000</v>
      </c>
      <c r="Q71">
        <v>0</v>
      </c>
      <c r="R71">
        <v>0</v>
      </c>
      <c r="S71">
        <v>0</v>
      </c>
      <c r="T71">
        <v>0</v>
      </c>
    </row>
    <row r="72" spans="1:22">
      <c r="A72" t="s">
        <v>25</v>
      </c>
      <c r="D72" s="61">
        <v>1136.8900000000001</v>
      </c>
      <c r="G72" s="30">
        <v>2.4500000000000002</v>
      </c>
      <c r="I72" s="28">
        <v>4000</v>
      </c>
      <c r="L72">
        <v>4000</v>
      </c>
      <c r="M72">
        <f>G72+0.2</f>
        <v>2.6500000000000004</v>
      </c>
      <c r="N72">
        <f t="shared" ref="N72:N79" si="7">H72</f>
        <v>0</v>
      </c>
      <c r="O72">
        <f t="shared" si="5"/>
        <v>1136.8900000000001</v>
      </c>
      <c r="P72">
        <f t="shared" si="6"/>
        <v>4000</v>
      </c>
      <c r="Q72">
        <v>0</v>
      </c>
      <c r="R72">
        <v>0</v>
      </c>
      <c r="S72">
        <v>0</v>
      </c>
      <c r="T72">
        <v>0</v>
      </c>
    </row>
    <row r="73" spans="1:22">
      <c r="A73" t="s">
        <v>28</v>
      </c>
      <c r="D73" s="61">
        <v>981.86</v>
      </c>
      <c r="G73" s="30">
        <v>8.16</v>
      </c>
      <c r="I73" s="28">
        <v>4000</v>
      </c>
      <c r="L73">
        <v>4000</v>
      </c>
      <c r="M73">
        <f>G73+0.2</f>
        <v>8.36</v>
      </c>
      <c r="N73">
        <f t="shared" si="7"/>
        <v>0</v>
      </c>
      <c r="O73">
        <f t="shared" si="5"/>
        <v>981.86</v>
      </c>
      <c r="P73">
        <f t="shared" si="6"/>
        <v>4000</v>
      </c>
      <c r="Q73">
        <v>0</v>
      </c>
      <c r="R73">
        <v>0</v>
      </c>
      <c r="S73">
        <v>0</v>
      </c>
      <c r="T73">
        <v>0</v>
      </c>
    </row>
    <row r="74" spans="1:22">
      <c r="A74" t="s">
        <v>30</v>
      </c>
      <c r="D74" s="61">
        <v>930.19</v>
      </c>
      <c r="G74" s="30">
        <v>11.14</v>
      </c>
      <c r="I74" s="28">
        <v>4000</v>
      </c>
      <c r="L74">
        <v>4000</v>
      </c>
      <c r="M74">
        <f>G74+0.2</f>
        <v>11.34</v>
      </c>
      <c r="N74">
        <f t="shared" si="7"/>
        <v>0</v>
      </c>
      <c r="O74">
        <f t="shared" si="5"/>
        <v>930.19</v>
      </c>
      <c r="P74">
        <f t="shared" si="6"/>
        <v>4000</v>
      </c>
      <c r="Q74">
        <v>0</v>
      </c>
      <c r="R74">
        <v>0</v>
      </c>
      <c r="S74">
        <v>0</v>
      </c>
      <c r="T74">
        <v>0</v>
      </c>
    </row>
    <row r="75" spans="1:22">
      <c r="A75" t="s">
        <v>32</v>
      </c>
      <c r="D75" s="61">
        <v>826.83</v>
      </c>
      <c r="G75" s="30">
        <v>21.76</v>
      </c>
      <c r="I75" s="28">
        <v>4000</v>
      </c>
      <c r="L75">
        <v>4000</v>
      </c>
      <c r="M75">
        <f>G75</f>
        <v>21.76</v>
      </c>
      <c r="N75">
        <f t="shared" si="7"/>
        <v>0</v>
      </c>
      <c r="O75">
        <f t="shared" si="5"/>
        <v>826.83</v>
      </c>
      <c r="P75">
        <f t="shared" si="6"/>
        <v>4000</v>
      </c>
      <c r="Q75">
        <v>0</v>
      </c>
      <c r="R75">
        <v>0</v>
      </c>
      <c r="S75">
        <v>0</v>
      </c>
      <c r="T75">
        <v>0</v>
      </c>
    </row>
    <row r="76" spans="1:22">
      <c r="A76" t="s">
        <v>35</v>
      </c>
      <c r="D76" s="61">
        <v>723.48</v>
      </c>
      <c r="G76" s="30">
        <v>38.21</v>
      </c>
      <c r="I76" s="28">
        <v>4000</v>
      </c>
      <c r="L76">
        <v>4000</v>
      </c>
      <c r="M76">
        <f>G76</f>
        <v>38.21</v>
      </c>
      <c r="N76">
        <f t="shared" si="7"/>
        <v>0</v>
      </c>
      <c r="O76">
        <f t="shared" si="5"/>
        <v>723.48</v>
      </c>
      <c r="P76">
        <f t="shared" si="6"/>
        <v>4000</v>
      </c>
      <c r="Q76">
        <v>0</v>
      </c>
      <c r="R76">
        <v>0</v>
      </c>
      <c r="S76">
        <v>0</v>
      </c>
      <c r="T76">
        <v>0</v>
      </c>
    </row>
    <row r="77" spans="1:22">
      <c r="A77" t="s">
        <v>38</v>
      </c>
      <c r="D77" s="61">
        <v>620.12</v>
      </c>
      <c r="G77" s="30">
        <v>73.239999999999995</v>
      </c>
      <c r="I77" s="28">
        <v>4000</v>
      </c>
      <c r="L77">
        <v>4000</v>
      </c>
      <c r="M77">
        <f>G77-1</f>
        <v>72.239999999999995</v>
      </c>
      <c r="N77">
        <f t="shared" si="7"/>
        <v>0</v>
      </c>
      <c r="O77">
        <f t="shared" si="5"/>
        <v>620.12</v>
      </c>
      <c r="P77">
        <f t="shared" si="6"/>
        <v>4000</v>
      </c>
      <c r="Q77">
        <v>0</v>
      </c>
      <c r="R77">
        <v>0</v>
      </c>
      <c r="S77">
        <v>0</v>
      </c>
      <c r="T77">
        <v>0</v>
      </c>
    </row>
    <row r="78" spans="1:22">
      <c r="A78" t="s">
        <v>40</v>
      </c>
      <c r="D78" s="61">
        <v>542.61</v>
      </c>
      <c r="G78" s="101">
        <v>125.96</v>
      </c>
      <c r="I78" s="28">
        <v>4000</v>
      </c>
      <c r="L78">
        <v>4000</v>
      </c>
      <c r="M78">
        <f>G78</f>
        <v>125.96</v>
      </c>
      <c r="N78">
        <f t="shared" si="7"/>
        <v>0</v>
      </c>
      <c r="O78">
        <f t="shared" si="5"/>
        <v>542.61</v>
      </c>
      <c r="P78">
        <f t="shared" si="6"/>
        <v>4000</v>
      </c>
      <c r="Q78">
        <v>0</v>
      </c>
      <c r="R78">
        <v>0</v>
      </c>
      <c r="S78">
        <v>0</v>
      </c>
      <c r="T78">
        <v>0</v>
      </c>
    </row>
    <row r="79" spans="1:22">
      <c r="A79" t="s">
        <v>68</v>
      </c>
      <c r="D79" s="61">
        <v>516.77</v>
      </c>
      <c r="G79" s="30">
        <v>152.34</v>
      </c>
      <c r="I79" s="28">
        <v>4000</v>
      </c>
      <c r="L79">
        <v>4000</v>
      </c>
      <c r="M79">
        <f>G79</f>
        <v>152.34</v>
      </c>
      <c r="N79">
        <f t="shared" si="7"/>
        <v>0</v>
      </c>
      <c r="O79">
        <f t="shared" si="5"/>
        <v>516.77</v>
      </c>
      <c r="P79">
        <f t="shared" si="6"/>
        <v>4000</v>
      </c>
    </row>
    <row r="80" spans="1:22">
      <c r="D80" s="61"/>
      <c r="G80" s="30"/>
      <c r="I80" s="28"/>
      <c r="L80" s="46">
        <v>4000</v>
      </c>
      <c r="M80" s="46">
        <v>0</v>
      </c>
      <c r="N80" s="46">
        <v>0</v>
      </c>
      <c r="O80" s="46">
        <f>1328-5</f>
        <v>1323</v>
      </c>
      <c r="P80" s="46">
        <v>4000</v>
      </c>
      <c r="Q80">
        <v>0</v>
      </c>
      <c r="R80">
        <v>0</v>
      </c>
      <c r="S80">
        <v>0</v>
      </c>
      <c r="T80">
        <v>0</v>
      </c>
      <c r="U80" t="s">
        <v>69</v>
      </c>
    </row>
    <row r="81" spans="1:22">
      <c r="A81" t="s">
        <v>70</v>
      </c>
      <c r="D81" s="61">
        <f>D72</f>
        <v>1136.8900000000001</v>
      </c>
      <c r="F81" s="25">
        <v>-33.03</v>
      </c>
      <c r="G81" s="11">
        <f>F81+J81</f>
        <v>8.0671999999999997</v>
      </c>
      <c r="H81" s="25">
        <v>-539.08000000000004</v>
      </c>
      <c r="I81" s="25">
        <v>2499.71</v>
      </c>
      <c r="J81">
        <f>8.1801--32.9171</f>
        <v>41.097200000000001</v>
      </c>
      <c r="K81" t="s">
        <v>71</v>
      </c>
      <c r="L81">
        <v>2500</v>
      </c>
      <c r="M81">
        <f>G81/10</f>
        <v>0.80671999999999999</v>
      </c>
      <c r="N81">
        <f>H81</f>
        <v>-539.08000000000004</v>
      </c>
      <c r="O81">
        <f>D81</f>
        <v>1136.8900000000001</v>
      </c>
      <c r="P81">
        <f>I81</f>
        <v>2499.71</v>
      </c>
      <c r="Q81">
        <f>F82/10</f>
        <v>0.28799999999999998</v>
      </c>
      <c r="R81">
        <f>H82</f>
        <v>0.41</v>
      </c>
      <c r="S81">
        <v>0</v>
      </c>
      <c r="T81">
        <f>I82</f>
        <v>0.2</v>
      </c>
      <c r="U81" s="45">
        <v>4.1199599999999998</v>
      </c>
      <c r="V81" s="21" t="s">
        <v>72</v>
      </c>
    </row>
    <row r="82" spans="1:22">
      <c r="D82" s="61"/>
      <c r="F82" s="25">
        <v>2.88</v>
      </c>
      <c r="H82" s="25">
        <v>0.41</v>
      </c>
      <c r="I82" s="25">
        <v>0.2</v>
      </c>
      <c r="L82" s="46">
        <v>3000</v>
      </c>
      <c r="M82" s="46">
        <v>0</v>
      </c>
      <c r="N82" s="46">
        <v>0</v>
      </c>
      <c r="O82" s="46">
        <v>1192.3493020000001</v>
      </c>
      <c r="P82" s="46">
        <v>3000</v>
      </c>
      <c r="Q82">
        <v>0</v>
      </c>
      <c r="R82">
        <v>0</v>
      </c>
      <c r="S82">
        <v>0</v>
      </c>
      <c r="T82">
        <v>0</v>
      </c>
      <c r="U82" t="s">
        <v>69</v>
      </c>
    </row>
    <row r="83" spans="1:22">
      <c r="A83" t="s">
        <v>73</v>
      </c>
      <c r="D83" s="61">
        <f>D73</f>
        <v>981.86</v>
      </c>
      <c r="F83" s="25">
        <v>12.71</v>
      </c>
      <c r="G83" s="11">
        <f>F83+J83</f>
        <v>56.513800000000003</v>
      </c>
      <c r="H83" s="25">
        <v>-543.09</v>
      </c>
      <c r="I83" s="25">
        <v>2501.2199999999998</v>
      </c>
      <c r="J83">
        <f>60.3614-16.5576</f>
        <v>43.803800000000003</v>
      </c>
      <c r="L83">
        <v>2500</v>
      </c>
      <c r="M83">
        <f>G83/10</f>
        <v>5.6513800000000005</v>
      </c>
      <c r="N83">
        <f>H83</f>
        <v>-543.09</v>
      </c>
      <c r="O83">
        <f>D83</f>
        <v>981.86</v>
      </c>
      <c r="P83">
        <f>I83</f>
        <v>2501.2199999999998</v>
      </c>
      <c r="Q83">
        <f>F84/10</f>
        <v>0.34500000000000003</v>
      </c>
      <c r="R83">
        <f>H84</f>
        <v>0.36</v>
      </c>
      <c r="S83">
        <v>0</v>
      </c>
      <c r="T83">
        <f>I84</f>
        <v>0.55000000000000004</v>
      </c>
      <c r="U83" s="45">
        <v>5.7116600000000002</v>
      </c>
      <c r="V83" s="21" t="s">
        <v>74</v>
      </c>
    </row>
    <row r="84" spans="1:22">
      <c r="D84" s="61"/>
      <c r="F84" s="25">
        <v>3.45</v>
      </c>
      <c r="H84" s="25">
        <v>0.36</v>
      </c>
      <c r="I84" s="25">
        <v>0.55000000000000004</v>
      </c>
    </row>
    <row r="85" spans="1:22">
      <c r="A85" t="s">
        <v>75</v>
      </c>
      <c r="D85" s="61">
        <f>D74</f>
        <v>930.19</v>
      </c>
      <c r="F85" s="25">
        <v>33.17</v>
      </c>
      <c r="G85" s="11">
        <f>F85+J85</f>
        <v>80.112500000000011</v>
      </c>
      <c r="H85" s="25">
        <v>-541.53</v>
      </c>
      <c r="I85" s="25">
        <v>2499.31</v>
      </c>
      <c r="J85">
        <f>85.884-38.9415</f>
        <v>46.942500000000003</v>
      </c>
      <c r="L85">
        <v>2500</v>
      </c>
      <c r="M85">
        <f>G85/10</f>
        <v>8.0112500000000004</v>
      </c>
      <c r="N85">
        <f>H85</f>
        <v>-541.53</v>
      </c>
      <c r="O85">
        <f>D85</f>
        <v>930.19</v>
      </c>
      <c r="P85">
        <f>I85</f>
        <v>2499.31</v>
      </c>
      <c r="Q85">
        <f>F86/10</f>
        <v>0.254</v>
      </c>
      <c r="R85">
        <f>H86</f>
        <v>0.62</v>
      </c>
      <c r="S85">
        <v>0</v>
      </c>
      <c r="T85">
        <f>I86</f>
        <v>0.6</v>
      </c>
      <c r="U85" s="45">
        <v>5.7546400000000002</v>
      </c>
      <c r="V85" s="21" t="s">
        <v>76</v>
      </c>
    </row>
    <row r="86" spans="1:22">
      <c r="D86" s="61"/>
      <c r="F86" s="25">
        <v>2.54</v>
      </c>
      <c r="H86" s="25">
        <v>0.62</v>
      </c>
      <c r="I86" s="25">
        <v>0.6</v>
      </c>
    </row>
    <row r="87" spans="1:22">
      <c r="A87" t="s">
        <v>77</v>
      </c>
      <c r="D87" s="21">
        <v>826.83</v>
      </c>
      <c r="F87" s="25">
        <v>101.81</v>
      </c>
      <c r="G87" s="11">
        <f>F87+J87</f>
        <v>150.32300000000001</v>
      </c>
      <c r="H87" s="25">
        <v>-539.75</v>
      </c>
      <c r="I87" s="25">
        <v>2500.25</v>
      </c>
      <c r="J87">
        <f>177.788-129.275</f>
        <v>48.513000000000005</v>
      </c>
      <c r="L87">
        <v>2500</v>
      </c>
      <c r="M87">
        <f>G87/10+F88/10</f>
        <v>15.278300000000002</v>
      </c>
      <c r="N87">
        <f>H87</f>
        <v>-539.75</v>
      </c>
      <c r="O87">
        <f>D87</f>
        <v>826.83</v>
      </c>
      <c r="P87">
        <f>I87</f>
        <v>2500.25</v>
      </c>
      <c r="Q87">
        <f>F88/10</f>
        <v>0.246</v>
      </c>
      <c r="R87">
        <f>H88</f>
        <v>0.56999999999999995</v>
      </c>
      <c r="S87">
        <v>0</v>
      </c>
      <c r="T87">
        <f>I88</f>
        <v>0.91</v>
      </c>
      <c r="U87" s="45">
        <v>5.7879399999999999</v>
      </c>
      <c r="V87" s="21" t="s">
        <v>78</v>
      </c>
    </row>
    <row r="88" spans="1:22">
      <c r="F88" s="25">
        <v>2.46</v>
      </c>
      <c r="H88" s="25">
        <v>0.56999999999999995</v>
      </c>
      <c r="I88" s="25">
        <v>0.91</v>
      </c>
    </row>
    <row r="89" spans="1:22">
      <c r="A89" t="s">
        <v>79</v>
      </c>
      <c r="D89" s="21">
        <v>723.48</v>
      </c>
      <c r="F89" s="25">
        <v>236.72</v>
      </c>
      <c r="G89" s="11">
        <f>F89+J89</f>
        <v>293.10599999999999</v>
      </c>
      <c r="H89" s="25">
        <v>-532.21</v>
      </c>
      <c r="I89" s="25">
        <v>2499.87</v>
      </c>
      <c r="J89">
        <f>311.008-254.622</f>
        <v>56.385999999999967</v>
      </c>
      <c r="L89">
        <v>2500</v>
      </c>
      <c r="M89">
        <f>G89/10</f>
        <v>29.310600000000001</v>
      </c>
      <c r="N89">
        <f>H89</f>
        <v>-532.21</v>
      </c>
      <c r="O89">
        <f>D89</f>
        <v>723.48</v>
      </c>
      <c r="P89">
        <f>I89</f>
        <v>2499.87</v>
      </c>
      <c r="Q89">
        <f>F90/10</f>
        <v>0.151</v>
      </c>
      <c r="R89">
        <f>H90</f>
        <v>1.03</v>
      </c>
      <c r="S89">
        <v>0</v>
      </c>
      <c r="T89">
        <f>I90</f>
        <v>0.95</v>
      </c>
      <c r="U89" s="45">
        <v>6.5165199999999999</v>
      </c>
      <c r="V89" s="21" t="s">
        <v>80</v>
      </c>
    </row>
    <row r="90" spans="1:22">
      <c r="D90" s="61"/>
      <c r="F90" s="25">
        <v>1.51</v>
      </c>
      <c r="H90" s="25">
        <v>1.03</v>
      </c>
      <c r="I90" s="25">
        <v>0.95</v>
      </c>
    </row>
    <row r="91" spans="1:22">
      <c r="D91" s="61"/>
      <c r="G91" s="30"/>
      <c r="I91" s="28"/>
    </row>
    <row r="92" spans="1:22">
      <c r="A92">
        <v>2000</v>
      </c>
      <c r="D92" s="61"/>
      <c r="I92" s="28"/>
    </row>
    <row r="93" spans="1:22">
      <c r="A93" t="s">
        <v>81</v>
      </c>
      <c r="D93" s="21">
        <v>981.86</v>
      </c>
      <c r="F93" s="25">
        <v>-5.59</v>
      </c>
      <c r="G93" s="11">
        <f>F93+J93</f>
        <v>40.147049999999993</v>
      </c>
      <c r="H93" s="25">
        <v>-553.37</v>
      </c>
      <c r="I93" s="25">
        <v>1999.93</v>
      </c>
      <c r="J93">
        <f>46.5609-0.82385</f>
        <v>45.737049999999996</v>
      </c>
      <c r="L93">
        <v>2000</v>
      </c>
      <c r="M93">
        <f>G93/10+F94/10</f>
        <v>4.1117049999999997</v>
      </c>
      <c r="N93">
        <f>H93</f>
        <v>-553.37</v>
      </c>
      <c r="O93">
        <f>D93</f>
        <v>981.86</v>
      </c>
      <c r="P93">
        <f>I93</f>
        <v>1999.93</v>
      </c>
      <c r="Q93">
        <f>F94/10</f>
        <v>9.7000000000000003E-2</v>
      </c>
      <c r="R93">
        <f>H94</f>
        <v>0.16</v>
      </c>
      <c r="S93">
        <v>0</v>
      </c>
      <c r="T93">
        <f>I94</f>
        <v>0.8</v>
      </c>
      <c r="U93" s="45">
        <v>5.01478</v>
      </c>
      <c r="V93" s="21" t="s">
        <v>82</v>
      </c>
    </row>
    <row r="94" spans="1:22">
      <c r="D94" s="61"/>
      <c r="F94" s="25">
        <v>0.97</v>
      </c>
      <c r="H94" s="25">
        <v>0.16</v>
      </c>
      <c r="I94" s="25">
        <v>0.8</v>
      </c>
    </row>
    <row r="95" spans="1:22">
      <c r="A95" t="s">
        <v>83</v>
      </c>
      <c r="D95" s="21">
        <v>1136.8900000000001</v>
      </c>
      <c r="F95" s="25">
        <v>-42.45</v>
      </c>
      <c r="G95" s="11">
        <f>F95+J95</f>
        <v>0.10724999999999341</v>
      </c>
      <c r="H95" s="25">
        <v>-550.15</v>
      </c>
      <c r="I95" s="25">
        <v>1999.66</v>
      </c>
      <c r="J95">
        <f>-4.30975--46.867</f>
        <v>42.557249999999996</v>
      </c>
      <c r="L95">
        <v>2000</v>
      </c>
      <c r="M95">
        <f>G95/10+F96/10</f>
        <v>0.25972499999999937</v>
      </c>
      <c r="N95">
        <f>H95</f>
        <v>-550.15</v>
      </c>
      <c r="O95">
        <f>D95</f>
        <v>1136.8900000000001</v>
      </c>
      <c r="P95">
        <f>I95</f>
        <v>1999.66</v>
      </c>
      <c r="Q95">
        <f>F96/10</f>
        <v>0.24900000000000003</v>
      </c>
      <c r="R95">
        <f>H96</f>
        <v>0.34</v>
      </c>
      <c r="S95">
        <v>0</v>
      </c>
      <c r="T95">
        <f>I96</f>
        <v>0.56999999999999995</v>
      </c>
      <c r="U95" s="45">
        <v>4.4420799999999998</v>
      </c>
      <c r="V95" s="21" t="s">
        <v>84</v>
      </c>
    </row>
    <row r="96" spans="1:22">
      <c r="D96" s="61"/>
      <c r="F96" s="25">
        <v>2.4900000000000002</v>
      </c>
      <c r="H96" s="25">
        <v>0.34</v>
      </c>
      <c r="I96" s="25">
        <v>0.56999999999999995</v>
      </c>
    </row>
    <row r="97" spans="1:22">
      <c r="A97" t="s">
        <v>85</v>
      </c>
      <c r="D97" s="21">
        <v>826.83</v>
      </c>
      <c r="F97" s="25">
        <v>98.2</v>
      </c>
      <c r="G97" s="11">
        <f>F97+J97</f>
        <v>149.298</v>
      </c>
      <c r="H97" s="25">
        <v>-546.69000000000005</v>
      </c>
      <c r="I97" s="25">
        <v>2000.09</v>
      </c>
      <c r="J97">
        <f>145.292-94.194</f>
        <v>51.097999999999999</v>
      </c>
      <c r="L97">
        <v>2000</v>
      </c>
      <c r="M97">
        <f>G97/10</f>
        <v>14.9298</v>
      </c>
      <c r="N97">
        <f>H97</f>
        <v>-546.69000000000005</v>
      </c>
      <c r="O97">
        <f>D97</f>
        <v>826.83</v>
      </c>
      <c r="P97">
        <f>I97</f>
        <v>2000.09</v>
      </c>
      <c r="Q97">
        <f>F98/10</f>
        <v>0.44400000000000006</v>
      </c>
      <c r="R97">
        <f>H98</f>
        <v>0.19</v>
      </c>
      <c r="S97">
        <v>0</v>
      </c>
      <c r="T97">
        <f>I98</f>
        <v>0.27</v>
      </c>
      <c r="U97" s="45">
        <v>5.7580200000000001</v>
      </c>
      <c r="V97" s="21" t="s">
        <v>86</v>
      </c>
    </row>
    <row r="98" spans="1:22">
      <c r="D98" s="61"/>
      <c r="F98" s="25">
        <v>4.4400000000000004</v>
      </c>
      <c r="H98" s="25">
        <v>0.19</v>
      </c>
      <c r="I98" s="25">
        <v>0.27</v>
      </c>
    </row>
    <row r="99" spans="1:22">
      <c r="D99" s="61"/>
      <c r="G99" s="30"/>
      <c r="I99" s="28"/>
    </row>
    <row r="100" spans="1:22">
      <c r="D100" s="61"/>
      <c r="G100" s="30"/>
      <c r="I100" s="28"/>
    </row>
    <row r="101" spans="1:22">
      <c r="D101" s="61"/>
      <c r="G101" s="30"/>
      <c r="I101" s="28"/>
    </row>
    <row r="102" spans="1:22">
      <c r="D102" s="61"/>
      <c r="G102" s="30"/>
      <c r="I102" s="28"/>
    </row>
    <row r="103" spans="1:22">
      <c r="D103" s="61"/>
      <c r="G103" s="30"/>
      <c r="I103" s="28"/>
    </row>
    <row r="104" spans="1:22">
      <c r="D104" s="61"/>
      <c r="G104" s="30"/>
      <c r="I104" s="28"/>
    </row>
    <row r="105" spans="1:22">
      <c r="D105" s="61"/>
      <c r="G105" s="30"/>
      <c r="I105" s="28"/>
    </row>
    <row r="106" spans="1:22">
      <c r="D106" s="61"/>
      <c r="G106" s="30"/>
      <c r="I106" s="28"/>
    </row>
    <row r="107" spans="1:22">
      <c r="D107" s="61"/>
      <c r="G107" s="30"/>
      <c r="I107" s="28"/>
    </row>
    <row r="108" spans="1:22">
      <c r="D108" s="61"/>
      <c r="G108" s="30"/>
      <c r="I108" s="28"/>
    </row>
    <row r="109" spans="1:22">
      <c r="D109" s="61"/>
      <c r="G109" s="30"/>
      <c r="I109" s="28"/>
    </row>
    <row r="110" spans="1:22">
      <c r="D110" s="61"/>
      <c r="G110" s="30"/>
      <c r="I110" s="28"/>
    </row>
    <row r="111" spans="1:22">
      <c r="D111" s="61"/>
      <c r="G111" s="30"/>
      <c r="I111" s="28"/>
    </row>
    <row r="112" spans="1:22">
      <c r="D112" s="61"/>
      <c r="G112" s="29"/>
      <c r="I112" s="28"/>
    </row>
    <row r="113" spans="1:54">
      <c r="D113" s="61"/>
      <c r="G113" s="29"/>
      <c r="I113" s="28"/>
    </row>
    <row r="114" spans="1:54">
      <c r="D114" s="61"/>
      <c r="G114" s="29"/>
      <c r="I114" s="28"/>
    </row>
    <row r="116" spans="1:54">
      <c r="A116" s="66" t="s">
        <v>87</v>
      </c>
      <c r="B116" s="66"/>
      <c r="C116" s="66"/>
      <c r="D116" s="66" t="s">
        <v>88</v>
      </c>
      <c r="E116" s="66"/>
      <c r="F116" s="66"/>
      <c r="G116" s="100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  <c r="AA116" s="66"/>
      <c r="AB116" s="66"/>
      <c r="AC116" s="66"/>
      <c r="AD116" s="66"/>
      <c r="AE116" s="66"/>
      <c r="AF116" s="66"/>
      <c r="AG116" s="66"/>
      <c r="AH116" s="66"/>
      <c r="AI116" s="66"/>
      <c r="AJ116" s="66"/>
      <c r="AK116" s="66"/>
      <c r="AL116" s="66"/>
      <c r="AM116" s="66"/>
      <c r="AN116" s="66"/>
      <c r="AO116" s="66"/>
      <c r="AP116" s="66"/>
      <c r="AQ116" s="66"/>
      <c r="AR116" s="66"/>
      <c r="AS116" s="66"/>
      <c r="AT116" s="66"/>
      <c r="AU116" s="66"/>
      <c r="AV116" s="66"/>
      <c r="AW116" s="66"/>
      <c r="AX116" s="66"/>
      <c r="AY116" s="66"/>
      <c r="AZ116" s="66"/>
      <c r="BA116" s="66"/>
      <c r="BB116" s="66"/>
    </row>
    <row r="117" spans="1:54" s="66" customFormat="1">
      <c r="A117" s="1" t="s">
        <v>3</v>
      </c>
      <c r="B117" s="1" t="s">
        <v>4</v>
      </c>
      <c r="C117" s="1" t="s">
        <v>5</v>
      </c>
      <c r="D117" s="1" t="s">
        <v>6</v>
      </c>
      <c r="E117" s="1" t="s">
        <v>7</v>
      </c>
      <c r="F117" s="1" t="s">
        <v>8</v>
      </c>
      <c r="G117" s="11" t="s">
        <v>9</v>
      </c>
      <c r="H117" s="1"/>
      <c r="I117" s="1" t="s">
        <v>10</v>
      </c>
      <c r="J117" s="1" t="s">
        <v>11</v>
      </c>
      <c r="K117" s="1" t="s">
        <v>1</v>
      </c>
      <c r="L117" s="1" t="s">
        <v>6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</row>
    <row r="118" spans="1:54" s="1" customFormat="1">
      <c r="A118" s="1">
        <v>0</v>
      </c>
      <c r="B118" s="1">
        <v>0</v>
      </c>
      <c r="C118" s="1">
        <v>24</v>
      </c>
      <c r="D118" s="1">
        <v>8</v>
      </c>
      <c r="E118" s="1">
        <f>24+8</f>
        <v>32</v>
      </c>
      <c r="F118" s="1">
        <f>24*3+24</f>
        <v>96</v>
      </c>
      <c r="G118" s="11"/>
      <c r="J118" s="1">
        <f>D118*72/G119</f>
        <v>0.16622800941958721</v>
      </c>
      <c r="K118" s="1">
        <f>D118/(C118+D118)</f>
        <v>0.25</v>
      </c>
      <c r="L118" s="5">
        <f>D118*2/(C118+D118+E118)</f>
        <v>0.25</v>
      </c>
      <c r="N118" s="5"/>
    </row>
    <row r="119" spans="1:54" s="1" customFormat="1">
      <c r="A119" s="1">
        <v>1.02</v>
      </c>
      <c r="B119" s="1">
        <v>12.01</v>
      </c>
      <c r="C119" s="1">
        <v>24.31</v>
      </c>
      <c r="D119" s="1">
        <v>55.85</v>
      </c>
      <c r="E119" s="1">
        <v>28.09</v>
      </c>
      <c r="F119" s="1">
        <v>16</v>
      </c>
      <c r="G119" s="11">
        <f>A118*A119+B119*B118+C119*C118+D119*D118+E119*E118+F119*F118</f>
        <v>3465.12</v>
      </c>
      <c r="I119" s="2">
        <v>6.0220000000000003E+23</v>
      </c>
    </row>
    <row r="120" spans="1:54" s="1" customFormat="1">
      <c r="A120" t="s">
        <v>89</v>
      </c>
      <c r="B120" t="s">
        <v>90</v>
      </c>
      <c r="C120" t="s">
        <v>91</v>
      </c>
      <c r="D120" t="s">
        <v>12</v>
      </c>
      <c r="E120" t="s">
        <v>92</v>
      </c>
      <c r="F120" t="s">
        <v>93</v>
      </c>
      <c r="G120" s="11" t="s">
        <v>13</v>
      </c>
      <c r="H120" t="s">
        <v>14</v>
      </c>
      <c r="I120" t="s">
        <v>15</v>
      </c>
      <c r="J120" t="s">
        <v>16</v>
      </c>
    </row>
    <row r="121" spans="1:54">
      <c r="A121" t="s">
        <v>25</v>
      </c>
      <c r="B121">
        <v>0.86</v>
      </c>
      <c r="C121" t="s">
        <v>1</v>
      </c>
      <c r="D121">
        <v>1287.8599999999999</v>
      </c>
      <c r="E121" s="6" t="e">
        <f>G$223/(D121*1E-30*I$223)/1000000</f>
        <v>#DIV/0!</v>
      </c>
      <c r="F121">
        <v>547.92999999999995</v>
      </c>
      <c r="G121" s="11">
        <f>F121+J121</f>
        <v>612.41999999999996</v>
      </c>
      <c r="H121">
        <v>-777.65</v>
      </c>
      <c r="I121">
        <v>4001.76</v>
      </c>
      <c r="J121" s="17">
        <f>613.443-548.953</f>
        <v>64.490000000000009</v>
      </c>
    </row>
    <row r="122" spans="1:54">
      <c r="E122" s="28"/>
      <c r="F122">
        <v>3.7</v>
      </c>
      <c r="H122">
        <v>0.11</v>
      </c>
      <c r="I122">
        <v>2.31</v>
      </c>
    </row>
    <row r="123" spans="1:54">
      <c r="E123" s="28"/>
    </row>
    <row r="128" spans="1:54">
      <c r="A128" t="s">
        <v>1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F138"/>
  <sheetViews>
    <sheetView topLeftCell="A44" zoomScale="83" zoomScaleNormal="63" zoomScalePageLayoutView="75" workbookViewId="0">
      <selection activeCell="A54" sqref="A54"/>
    </sheetView>
  </sheetViews>
  <sheetFormatPr baseColWidth="10" defaultRowHeight="16"/>
  <cols>
    <col min="6" max="6" width="10.83203125" style="89" customWidth="1"/>
    <col min="7" max="7" width="10.83203125" style="11"/>
    <col min="22" max="22" width="10.83203125" style="89"/>
    <col min="23" max="24" width="10.83203125" style="89" customWidth="1"/>
  </cols>
  <sheetData>
    <row r="1" spans="1:32" s="66" customFormat="1">
      <c r="A1" s="66" t="s">
        <v>94</v>
      </c>
      <c r="D1" s="66" t="s">
        <v>95</v>
      </c>
      <c r="F1" s="66" t="s">
        <v>96</v>
      </c>
      <c r="G1" s="100"/>
    </row>
    <row r="2" spans="1:32" s="1" customFormat="1">
      <c r="A2" s="1" t="s">
        <v>3</v>
      </c>
      <c r="B2" s="1" t="s">
        <v>4</v>
      </c>
      <c r="C2" t="s">
        <v>5</v>
      </c>
      <c r="D2" t="s">
        <v>6</v>
      </c>
      <c r="E2" t="s">
        <v>7</v>
      </c>
      <c r="F2" t="s">
        <v>8</v>
      </c>
      <c r="G2" s="11" t="s">
        <v>9</v>
      </c>
      <c r="I2" s="1" t="s">
        <v>10</v>
      </c>
      <c r="J2" s="1" t="s">
        <v>11</v>
      </c>
      <c r="K2" s="1" t="s">
        <v>97</v>
      </c>
      <c r="L2" s="1" t="s">
        <v>98</v>
      </c>
      <c r="N2" s="1" t="s">
        <v>6</v>
      </c>
      <c r="O2" s="1" t="s">
        <v>5</v>
      </c>
      <c r="P2" s="1" t="s">
        <v>6</v>
      </c>
      <c r="Q2" s="1" t="s">
        <v>7</v>
      </c>
    </row>
    <row r="3" spans="1:32" s="1" customFormat="1">
      <c r="A3" s="1">
        <v>0</v>
      </c>
      <c r="B3" s="1">
        <v>0</v>
      </c>
      <c r="C3">
        <v>14</v>
      </c>
      <c r="D3">
        <v>2</v>
      </c>
      <c r="E3">
        <v>16</v>
      </c>
      <c r="F3">
        <v>49</v>
      </c>
      <c r="G3" s="11"/>
      <c r="J3" s="4">
        <f>D3*72/G4</f>
        <v>8.5435602914303341E-2</v>
      </c>
      <c r="K3" s="1">
        <f>A3/2*18/G4</f>
        <v>0</v>
      </c>
      <c r="L3" s="1">
        <f>B3*(12+32)/G4</f>
        <v>0</v>
      </c>
      <c r="M3" s="1">
        <f>E3*(E4+F4*2)/G4</f>
        <v>0.57042504212449874</v>
      </c>
      <c r="N3" s="5">
        <f>D3*2/(C3+D3+E3)</f>
        <v>0.125</v>
      </c>
      <c r="O3" s="1">
        <f>C3/($C$3+$D$3+$E$3)</f>
        <v>0.4375</v>
      </c>
      <c r="P3" s="1">
        <f>D3/($C$3+$D$3+$E$3)</f>
        <v>6.25E-2</v>
      </c>
      <c r="Q3" s="1">
        <f>E3/($C$3+$D$3+$E$3)</f>
        <v>0.5</v>
      </c>
    </row>
    <row r="4" spans="1:32" s="1" customFormat="1">
      <c r="A4" s="1">
        <v>1</v>
      </c>
      <c r="B4" s="1">
        <v>12.01</v>
      </c>
      <c r="C4" s="1">
        <v>24.31</v>
      </c>
      <c r="D4" s="1">
        <v>55.85</v>
      </c>
      <c r="E4" s="1">
        <v>28.09</v>
      </c>
      <c r="F4" s="1">
        <v>16</v>
      </c>
      <c r="G4" s="11">
        <f>A3*A4+B4*B3+C4*C3+D4*D3+E4*E3+F4*F3</f>
        <v>1685.48</v>
      </c>
      <c r="I4" s="2">
        <v>6.0220000000000003E+23</v>
      </c>
      <c r="U4" s="1" t="s">
        <v>99</v>
      </c>
    </row>
    <row r="5" spans="1:32">
      <c r="A5" s="46" t="s">
        <v>100</v>
      </c>
      <c r="B5" t="s">
        <v>90</v>
      </c>
      <c r="C5" t="s">
        <v>101</v>
      </c>
      <c r="D5" t="s">
        <v>12</v>
      </c>
      <c r="E5" t="s">
        <v>92</v>
      </c>
      <c r="F5" t="s">
        <v>93</v>
      </c>
      <c r="G5" s="11" t="s">
        <v>13</v>
      </c>
      <c r="H5" t="s">
        <v>14</v>
      </c>
      <c r="I5" t="s">
        <v>15</v>
      </c>
      <c r="J5" t="s">
        <v>16</v>
      </c>
      <c r="K5" t="s">
        <v>102</v>
      </c>
      <c r="M5" s="83" t="s">
        <v>17</v>
      </c>
      <c r="N5" s="83" t="s">
        <v>18</v>
      </c>
      <c r="O5" s="83" t="s">
        <v>19</v>
      </c>
      <c r="P5" s="83" t="s">
        <v>15</v>
      </c>
      <c r="Q5" s="83" t="s">
        <v>20</v>
      </c>
      <c r="R5" s="83" t="s">
        <v>21</v>
      </c>
      <c r="S5" s="83" t="s">
        <v>22</v>
      </c>
      <c r="T5" s="83" t="s">
        <v>23</v>
      </c>
      <c r="U5" s="1" t="s">
        <v>582</v>
      </c>
      <c r="V5" s="1" t="s">
        <v>583</v>
      </c>
      <c r="W5" s="1" t="s">
        <v>24</v>
      </c>
      <c r="X5" s="1"/>
      <c r="Y5" s="83" t="s">
        <v>5</v>
      </c>
      <c r="Z5" s="83" t="s">
        <v>6</v>
      </c>
      <c r="AA5" s="83" t="s">
        <v>7</v>
      </c>
      <c r="AB5" s="83" t="s">
        <v>8</v>
      </c>
      <c r="AE5" s="83"/>
      <c r="AF5" s="83"/>
    </row>
    <row r="6" spans="1:32">
      <c r="A6" s="35" t="s">
        <v>104</v>
      </c>
      <c r="B6">
        <v>1</v>
      </c>
      <c r="C6">
        <v>500</v>
      </c>
      <c r="D6">
        <v>684.73</v>
      </c>
      <c r="E6" s="6">
        <f>G$4/(D6*1E-30*I$4)/1000000</f>
        <v>4.0875539366478018</v>
      </c>
      <c r="F6" s="21">
        <v>429.93</v>
      </c>
      <c r="G6" s="11">
        <f>F6+J6</f>
        <v>489.62</v>
      </c>
      <c r="H6" s="21">
        <v>-502.59</v>
      </c>
      <c r="I6">
        <v>4000.42</v>
      </c>
      <c r="J6" s="40">
        <f>501.294-441.604</f>
        <v>59.69</v>
      </c>
      <c r="K6" t="s">
        <v>105</v>
      </c>
      <c r="L6">
        <v>4000</v>
      </c>
      <c r="M6">
        <f>G6/10</f>
        <v>48.962000000000003</v>
      </c>
      <c r="N6">
        <f>H6</f>
        <v>-502.59</v>
      </c>
      <c r="O6">
        <f>D6</f>
        <v>684.73</v>
      </c>
      <c r="P6">
        <f>I6</f>
        <v>4000.42</v>
      </c>
      <c r="Q6">
        <f>F7/10</f>
        <v>0.99499999999999988</v>
      </c>
      <c r="R6">
        <f>H7</f>
        <v>0.85</v>
      </c>
      <c r="S6">
        <v>0</v>
      </c>
      <c r="T6">
        <f>I7</f>
        <v>0.69</v>
      </c>
      <c r="U6" s="44">
        <v>6.9227800000000004</v>
      </c>
      <c r="V6" s="44"/>
      <c r="W6" s="21" t="s">
        <v>106</v>
      </c>
      <c r="X6" t="s">
        <v>107</v>
      </c>
      <c r="Y6" s="42">
        <v>5.3061999999999997E-9</v>
      </c>
      <c r="Z6" s="28">
        <v>7.9392E-9</v>
      </c>
      <c r="AA6" s="28">
        <v>3.7440000000000003E-9</v>
      </c>
      <c r="AB6" s="28">
        <v>5.2119000000000002E-9</v>
      </c>
    </row>
    <row r="7" spans="1:32">
      <c r="E7" s="6"/>
      <c r="F7" s="21">
        <v>9.9499999999999993</v>
      </c>
      <c r="H7">
        <v>0.85</v>
      </c>
      <c r="I7" s="21">
        <v>0.69</v>
      </c>
      <c r="Y7" s="43">
        <v>2.1512199826400001E-9</v>
      </c>
      <c r="Z7" s="43">
        <v>5.5589055381E-10</v>
      </c>
      <c r="AA7" s="43">
        <v>2.3841581175499999E-9</v>
      </c>
      <c r="AB7" s="43">
        <v>3.8935618693099996E-9</v>
      </c>
    </row>
    <row r="8" spans="1:32">
      <c r="A8" s="35" t="s">
        <v>108</v>
      </c>
      <c r="B8">
        <v>1.03</v>
      </c>
      <c r="C8">
        <v>0</v>
      </c>
      <c r="D8">
        <v>748.22</v>
      </c>
      <c r="E8" s="6">
        <f>G$4/(D8*1E-30*I$4)/1000000</f>
        <v>3.7407056842116626</v>
      </c>
      <c r="F8">
        <v>286.64</v>
      </c>
      <c r="G8" s="11">
        <f>F8+J8</f>
        <v>344.71699999999998</v>
      </c>
      <c r="H8">
        <v>-507.67</v>
      </c>
      <c r="I8">
        <v>3999.27</v>
      </c>
      <c r="J8" s="35">
        <f>337.655-279.578</f>
        <v>58.076999999999998</v>
      </c>
      <c r="L8">
        <v>4000</v>
      </c>
      <c r="M8">
        <f>G8/10</f>
        <v>34.471699999999998</v>
      </c>
      <c r="N8">
        <f>H8</f>
        <v>-507.67</v>
      </c>
      <c r="O8">
        <f>D8</f>
        <v>748.22</v>
      </c>
      <c r="P8">
        <f>I8</f>
        <v>3999.27</v>
      </c>
      <c r="Q8">
        <f>F9/10</f>
        <v>0.40800000000000003</v>
      </c>
      <c r="R8">
        <f>H9</f>
        <v>0.52</v>
      </c>
      <c r="S8">
        <v>0</v>
      </c>
      <c r="T8">
        <f>I9</f>
        <v>1.64</v>
      </c>
      <c r="U8" s="86">
        <v>6.3082399999999996</v>
      </c>
      <c r="V8" s="86"/>
      <c r="W8" s="21" t="s">
        <v>109</v>
      </c>
      <c r="Y8" s="43">
        <v>9.7917554324300004E-9</v>
      </c>
      <c r="Z8" s="43">
        <v>9.3581304916400003E-9</v>
      </c>
      <c r="AA8" s="43">
        <v>7.4281818272599998E-9</v>
      </c>
      <c r="AB8" s="43">
        <v>5.32080436529E-9</v>
      </c>
    </row>
    <row r="9" spans="1:32">
      <c r="E9" s="6"/>
      <c r="F9">
        <v>4.08</v>
      </c>
      <c r="H9">
        <v>0.52</v>
      </c>
      <c r="I9">
        <v>1.64</v>
      </c>
    </row>
    <row r="10" spans="1:32">
      <c r="A10" s="35" t="s">
        <v>110</v>
      </c>
      <c r="B10">
        <v>1.06</v>
      </c>
      <c r="D10">
        <v>815.52</v>
      </c>
      <c r="E10" s="6">
        <f>G$4/(D10*1E-30*I$4)/1000000</f>
        <v>3.4320075620963917</v>
      </c>
      <c r="F10">
        <v>178.92</v>
      </c>
      <c r="G10" s="11">
        <f>F10+J10</f>
        <v>234.029</v>
      </c>
      <c r="H10">
        <v>-511.52</v>
      </c>
      <c r="I10">
        <v>3999.69</v>
      </c>
      <c r="J10" s="35">
        <f>229.184-174.075</f>
        <v>55.109000000000009</v>
      </c>
      <c r="K10" t="s">
        <v>111</v>
      </c>
      <c r="L10">
        <v>4000</v>
      </c>
      <c r="M10">
        <f>G10/10</f>
        <v>23.402899999999999</v>
      </c>
      <c r="N10">
        <f>H10</f>
        <v>-511.52</v>
      </c>
      <c r="O10">
        <f>D10</f>
        <v>815.52</v>
      </c>
      <c r="P10">
        <f>I10</f>
        <v>3999.69</v>
      </c>
      <c r="Q10">
        <f>F11/10</f>
        <v>0.253</v>
      </c>
      <c r="R10">
        <f>H11</f>
        <v>0.35</v>
      </c>
      <c r="S10">
        <v>0</v>
      </c>
      <c r="T10">
        <f>I11</f>
        <v>0.21</v>
      </c>
      <c r="U10" s="21">
        <v>5.7785200000000003</v>
      </c>
      <c r="V10" s="21"/>
      <c r="W10" s="21" t="s">
        <v>112</v>
      </c>
      <c r="Y10" s="43">
        <v>1.42138091876E-8</v>
      </c>
      <c r="Z10" s="43">
        <v>2.3010610148299999E-8</v>
      </c>
      <c r="AA10" s="43">
        <v>5.6096900953199998E-9</v>
      </c>
      <c r="AB10" s="43">
        <v>8.1697152295999997E-9</v>
      </c>
    </row>
    <row r="11" spans="1:32">
      <c r="E11" s="6"/>
      <c r="F11">
        <v>2.5299999999999998</v>
      </c>
      <c r="H11">
        <v>0.35</v>
      </c>
      <c r="I11">
        <v>0.21</v>
      </c>
    </row>
    <row r="12" spans="1:32">
      <c r="A12" s="35" t="s">
        <v>113</v>
      </c>
      <c r="B12">
        <v>1.1000000000000001</v>
      </c>
      <c r="D12" s="21">
        <v>911.38</v>
      </c>
      <c r="E12" s="6">
        <f>G$4/(D12*1E-30*I$4)/1000000</f>
        <v>3.0710250466774012</v>
      </c>
      <c r="F12">
        <v>80.430000000000007</v>
      </c>
      <c r="G12" s="11">
        <f>F12+J12</f>
        <v>129.2466</v>
      </c>
      <c r="H12">
        <v>-513.85</v>
      </c>
      <c r="I12">
        <v>3998.3</v>
      </c>
      <c r="J12" s="35">
        <f>130.854-82.0374</f>
        <v>48.816600000000008</v>
      </c>
      <c r="L12">
        <v>4000</v>
      </c>
      <c r="M12" s="46">
        <f>G12/10+0.4</f>
        <v>13.32466</v>
      </c>
      <c r="N12">
        <f>H12</f>
        <v>-513.85</v>
      </c>
      <c r="O12">
        <f>D12</f>
        <v>911.38</v>
      </c>
      <c r="P12">
        <f>I12</f>
        <v>3998.3</v>
      </c>
      <c r="Q12">
        <f>F13/10</f>
        <v>0.34799999999999998</v>
      </c>
      <c r="R12">
        <f>H13</f>
        <v>1.19</v>
      </c>
      <c r="S12">
        <v>0</v>
      </c>
      <c r="T12">
        <f>I13</f>
        <v>1.79</v>
      </c>
      <c r="U12" s="21">
        <v>5.7575200000000004</v>
      </c>
      <c r="V12" s="21"/>
      <c r="W12" s="21" t="s">
        <v>114</v>
      </c>
      <c r="Y12" s="43">
        <v>1.2931109939E-8</v>
      </c>
      <c r="Z12" s="43">
        <v>1.7689894083200001E-9</v>
      </c>
      <c r="AA12" s="43">
        <v>5.51279631661E-9</v>
      </c>
      <c r="AB12" s="43">
        <v>8.7239316169999998E-9</v>
      </c>
      <c r="AC12" t="s">
        <v>42</v>
      </c>
    </row>
    <row r="13" spans="1:32">
      <c r="E13" s="6"/>
      <c r="F13">
        <v>3.48</v>
      </c>
      <c r="H13">
        <v>1.19</v>
      </c>
      <c r="I13">
        <v>1.79</v>
      </c>
    </row>
    <row r="14" spans="1:32">
      <c r="A14" s="35" t="s">
        <v>115</v>
      </c>
      <c r="D14">
        <v>587.07000000000005</v>
      </c>
      <c r="E14" s="6">
        <f>G$4/(D14*1E-30*I$4)/1000000</f>
        <v>4.7675248386748583</v>
      </c>
      <c r="F14">
        <v>878.63</v>
      </c>
      <c r="G14" s="11">
        <f>F14+J14</f>
        <v>944.30200000000002</v>
      </c>
      <c r="H14">
        <v>-520.44000000000005</v>
      </c>
      <c r="I14">
        <v>3999.64</v>
      </c>
      <c r="J14" s="35">
        <f>955.817-890.145</f>
        <v>65.672000000000025</v>
      </c>
      <c r="L14">
        <v>4000</v>
      </c>
      <c r="M14">
        <f>G14/10</f>
        <v>94.430199999999999</v>
      </c>
      <c r="N14">
        <f>H14</f>
        <v>-520.44000000000005</v>
      </c>
      <c r="O14">
        <f>D14</f>
        <v>587.07000000000005</v>
      </c>
      <c r="P14">
        <f>I14</f>
        <v>3999.64</v>
      </c>
      <c r="Q14">
        <f>F15/10</f>
        <v>0.43200000000000005</v>
      </c>
      <c r="R14">
        <f>H15</f>
        <v>2.16</v>
      </c>
      <c r="S14">
        <v>0</v>
      </c>
      <c r="T14">
        <f>I15</f>
        <v>0.95</v>
      </c>
      <c r="U14" s="44" t="s">
        <v>116</v>
      </c>
      <c r="V14" s="44">
        <v>0.3</v>
      </c>
      <c r="W14" s="21" t="s">
        <v>117</v>
      </c>
      <c r="X14" t="s">
        <v>118</v>
      </c>
      <c r="Y14" s="43">
        <v>1.5403188269400001E-9</v>
      </c>
      <c r="Z14" s="43">
        <v>1.6346233092000001E-9</v>
      </c>
      <c r="AA14" s="43">
        <v>7.2030725565799999E-10</v>
      </c>
      <c r="AB14" s="43">
        <v>1.6978918106E-9</v>
      </c>
    </row>
    <row r="15" spans="1:32">
      <c r="E15" s="6"/>
      <c r="F15">
        <v>4.32</v>
      </c>
      <c r="H15">
        <v>2.16</v>
      </c>
      <c r="I15">
        <v>0.95</v>
      </c>
    </row>
    <row r="16" spans="1:32">
      <c r="A16" s="35" t="s">
        <v>119</v>
      </c>
      <c r="B16">
        <v>1.1499999999999999</v>
      </c>
      <c r="D16">
        <v>1041.3900000000001</v>
      </c>
      <c r="E16" s="6">
        <f>G$4/(D16*1E-30*I$4)/1000000</f>
        <v>2.6876298092365491</v>
      </c>
      <c r="F16">
        <v>17.38</v>
      </c>
      <c r="G16" s="11">
        <f>F16+J16</f>
        <v>59.173749999999998</v>
      </c>
      <c r="H16">
        <v>-514.77</v>
      </c>
      <c r="I16">
        <v>3999.99</v>
      </c>
      <c r="J16" s="35">
        <f>49.8201-8.02635</f>
        <v>41.793749999999996</v>
      </c>
      <c r="L16">
        <v>4000</v>
      </c>
      <c r="M16" s="46">
        <f>G16/10+0.2</f>
        <v>6.117375</v>
      </c>
      <c r="N16">
        <f>H16</f>
        <v>-514.77</v>
      </c>
      <c r="O16">
        <f>D16</f>
        <v>1041.3900000000001</v>
      </c>
      <c r="P16">
        <f>I16</f>
        <v>3999.99</v>
      </c>
      <c r="Q16">
        <f>F17/10</f>
        <v>0.152</v>
      </c>
      <c r="R16">
        <f>H17</f>
        <v>0.95</v>
      </c>
      <c r="S16">
        <v>0</v>
      </c>
      <c r="T16">
        <f>I17</f>
        <v>0.51</v>
      </c>
      <c r="U16" s="21">
        <v>5.1250600000000004</v>
      </c>
      <c r="V16" s="21"/>
      <c r="W16" s="21" t="s">
        <v>120</v>
      </c>
      <c r="X16" s="21"/>
      <c r="Y16" s="43">
        <v>1.7153406686000002E-8</v>
      </c>
      <c r="Z16" s="43">
        <v>3.9554736179500001E-8</v>
      </c>
      <c r="AA16" s="43">
        <v>4.8220226731100001E-9</v>
      </c>
      <c r="AB16" s="43">
        <v>1.0867605746899999E-8</v>
      </c>
    </row>
    <row r="17" spans="1:32">
      <c r="E17" s="6"/>
      <c r="F17">
        <v>1.52</v>
      </c>
      <c r="H17">
        <v>0.95</v>
      </c>
      <c r="I17">
        <v>0.51</v>
      </c>
    </row>
    <row r="18" spans="1:32">
      <c r="A18" s="35" t="s">
        <v>121</v>
      </c>
      <c r="B18">
        <v>1.25</v>
      </c>
      <c r="C18">
        <v>0</v>
      </c>
      <c r="D18">
        <v>1337.36</v>
      </c>
      <c r="E18" s="6">
        <f>G$4/(D18*1E-30*I$4)/1000000</f>
        <v>2.0928327503745066</v>
      </c>
      <c r="F18">
        <v>-32.26</v>
      </c>
      <c r="G18" s="11">
        <f>F18+J18</f>
        <v>-2.3099999999999987</v>
      </c>
      <c r="H18">
        <v>-527.07000000000005</v>
      </c>
      <c r="I18">
        <v>4000.35</v>
      </c>
      <c r="J18" s="40">
        <f>14.7912--15.1588</f>
        <v>29.95</v>
      </c>
      <c r="L18">
        <v>4000</v>
      </c>
      <c r="M18" s="46">
        <v>0.05</v>
      </c>
      <c r="N18">
        <f>H18</f>
        <v>-527.07000000000005</v>
      </c>
      <c r="O18">
        <f>D18</f>
        <v>1337.36</v>
      </c>
      <c r="P18">
        <f>I18</f>
        <v>4000.35</v>
      </c>
      <c r="U18" s="21">
        <v>4.5766</v>
      </c>
      <c r="V18" s="21"/>
      <c r="X18" s="21"/>
      <c r="Y18" s="43">
        <v>2.0834580006299999E-8</v>
      </c>
      <c r="Z18" s="43">
        <v>2.07650880857E-8</v>
      </c>
      <c r="AA18" s="43">
        <v>9.5807615280099998E-9</v>
      </c>
      <c r="AB18" s="43">
        <v>1.1306768678299999E-8</v>
      </c>
    </row>
    <row r="19" spans="1:32">
      <c r="E19" s="6"/>
      <c r="F19">
        <v>0.99</v>
      </c>
      <c r="H19">
        <v>0.72</v>
      </c>
      <c r="I19">
        <v>1.86</v>
      </c>
      <c r="L19" s="46">
        <v>4000</v>
      </c>
      <c r="M19" s="46">
        <v>0</v>
      </c>
      <c r="N19" s="46">
        <v>0</v>
      </c>
      <c r="O19" s="67">
        <f>1345-20-8-40</f>
        <v>1277</v>
      </c>
      <c r="P19" s="46">
        <v>4000</v>
      </c>
      <c r="Q19" s="46">
        <v>0</v>
      </c>
      <c r="R19" s="46">
        <v>0</v>
      </c>
      <c r="S19" s="46">
        <v>0</v>
      </c>
      <c r="T19" s="46">
        <v>0</v>
      </c>
      <c r="U19" s="21">
        <v>4.5766</v>
      </c>
      <c r="W19" s="21" t="s">
        <v>122</v>
      </c>
    </row>
    <row r="21" spans="1:32">
      <c r="A21" s="46" t="s">
        <v>123</v>
      </c>
      <c r="C21" t="s">
        <v>124</v>
      </c>
      <c r="D21" t="s">
        <v>125</v>
      </c>
      <c r="E21" s="6"/>
      <c r="F21" t="s">
        <v>126</v>
      </c>
      <c r="G21" s="11" t="s">
        <v>127</v>
      </c>
      <c r="H21" t="s">
        <v>128</v>
      </c>
      <c r="I21" t="s">
        <v>129</v>
      </c>
      <c r="M21" s="83"/>
      <c r="N21" s="83"/>
      <c r="O21" s="83"/>
      <c r="P21" s="83"/>
      <c r="Q21" s="83"/>
      <c r="R21" s="83"/>
      <c r="S21" s="83"/>
      <c r="T21" s="83"/>
      <c r="Y21" s="83"/>
      <c r="Z21" s="83"/>
      <c r="AA21" s="83"/>
      <c r="AB21" s="83"/>
      <c r="AC21" s="83"/>
      <c r="AD21" s="83"/>
      <c r="AE21" s="83"/>
      <c r="AF21" s="83"/>
    </row>
    <row r="22" spans="1:32">
      <c r="A22" s="40" t="s">
        <v>130</v>
      </c>
      <c r="D22">
        <v>886.74</v>
      </c>
      <c r="E22" s="6"/>
      <c r="F22">
        <v>65.72</v>
      </c>
      <c r="G22" s="11">
        <f>F22+J22</f>
        <v>114.04039999999999</v>
      </c>
      <c r="H22">
        <v>-552.21</v>
      </c>
      <c r="I22">
        <v>2000.78</v>
      </c>
      <c r="J22" s="40">
        <f>113.181-64.8606</f>
        <v>48.320399999999992</v>
      </c>
      <c r="L22">
        <v>2000</v>
      </c>
      <c r="M22" s="46">
        <f>G22/10-1.5</f>
        <v>9.9040399999999984</v>
      </c>
      <c r="N22">
        <f>H22</f>
        <v>-552.21</v>
      </c>
      <c r="O22">
        <f>D22</f>
        <v>886.74</v>
      </c>
      <c r="P22">
        <f>I22</f>
        <v>2000.78</v>
      </c>
      <c r="Q22">
        <f>F23/10</f>
        <v>0.13100000000000001</v>
      </c>
      <c r="R22">
        <f>H23</f>
        <v>0.03</v>
      </c>
      <c r="S22">
        <v>0</v>
      </c>
      <c r="T22">
        <f>I23</f>
        <v>0.7</v>
      </c>
      <c r="U22" s="45">
        <v>5.3438600000000003</v>
      </c>
      <c r="W22" s="21" t="s">
        <v>132</v>
      </c>
      <c r="X22" t="s">
        <v>133</v>
      </c>
    </row>
    <row r="23" spans="1:32">
      <c r="E23" s="6"/>
      <c r="F23">
        <v>1.31</v>
      </c>
      <c r="H23">
        <v>0.03</v>
      </c>
      <c r="I23">
        <v>0.7</v>
      </c>
      <c r="N23" t="s">
        <v>1</v>
      </c>
    </row>
    <row r="24" spans="1:32">
      <c r="A24" s="17" t="s">
        <v>134</v>
      </c>
      <c r="B24">
        <v>1.05</v>
      </c>
      <c r="C24">
        <v>8.5</v>
      </c>
      <c r="D24">
        <v>792.66</v>
      </c>
      <c r="E24" s="6"/>
      <c r="F24" s="25">
        <v>115.36</v>
      </c>
      <c r="G24" s="11">
        <f>F24+J24</f>
        <v>171.702</v>
      </c>
      <c r="H24" s="25">
        <v>-548.22</v>
      </c>
      <c r="I24" s="25">
        <v>2000.15</v>
      </c>
      <c r="J24" s="10">
        <f>162.053-105.711</f>
        <v>56.341999999999999</v>
      </c>
      <c r="L24">
        <v>2000</v>
      </c>
      <c r="M24">
        <f>G24/10</f>
        <v>17.170200000000001</v>
      </c>
      <c r="N24">
        <f>H24</f>
        <v>-548.22</v>
      </c>
      <c r="O24">
        <f>D24</f>
        <v>792.66</v>
      </c>
      <c r="P24">
        <f>I24</f>
        <v>2000.15</v>
      </c>
      <c r="Q24">
        <f>F25/10</f>
        <v>0.246</v>
      </c>
      <c r="R24">
        <f>H25</f>
        <v>0.09</v>
      </c>
      <c r="S24">
        <v>0</v>
      </c>
      <c r="T24">
        <f>I25</f>
        <v>0.52</v>
      </c>
      <c r="U24" s="45">
        <v>5.9092599999999997</v>
      </c>
      <c r="W24" s="21" t="s">
        <v>135</v>
      </c>
      <c r="X24" t="s">
        <v>133</v>
      </c>
    </row>
    <row r="25" spans="1:32">
      <c r="E25" s="6"/>
      <c r="F25" s="25">
        <v>2.46</v>
      </c>
      <c r="H25" s="25">
        <v>0.09</v>
      </c>
      <c r="I25" s="25">
        <v>0.52</v>
      </c>
      <c r="N25" t="s">
        <v>1</v>
      </c>
    </row>
    <row r="26" spans="1:32">
      <c r="A26" s="40" t="s">
        <v>136</v>
      </c>
      <c r="E26" s="6"/>
    </row>
    <row r="27" spans="1:32">
      <c r="E27" s="6"/>
    </row>
    <row r="28" spans="1:32">
      <c r="A28" s="35" t="s">
        <v>137</v>
      </c>
      <c r="D28">
        <v>726.64</v>
      </c>
      <c r="E28" s="6"/>
      <c r="F28">
        <v>187.16</v>
      </c>
      <c r="G28" s="11">
        <f>J28+F28</f>
        <v>247.154</v>
      </c>
      <c r="H28">
        <v>-545.34</v>
      </c>
      <c r="I28">
        <v>1999.96</v>
      </c>
      <c r="J28" s="35">
        <f>234.275-174.281</f>
        <v>59.994</v>
      </c>
      <c r="U28" s="45" t="s">
        <v>584</v>
      </c>
      <c r="W28" s="21" t="s">
        <v>138</v>
      </c>
      <c r="Y28" s="43">
        <v>4.2542816063099999E-11</v>
      </c>
      <c r="Z28" s="43">
        <v>6.2468237400700004E-11</v>
      </c>
      <c r="AA28" s="43">
        <v>4.61900444761E-11</v>
      </c>
      <c r="AB28" s="43">
        <v>1.5552222486E-10</v>
      </c>
    </row>
    <row r="29" spans="1:32">
      <c r="E29" s="6"/>
      <c r="F29">
        <v>1.83</v>
      </c>
      <c r="H29">
        <v>0.17</v>
      </c>
      <c r="I29">
        <v>0.31</v>
      </c>
      <c r="N29" t="s">
        <v>1</v>
      </c>
    </row>
    <row r="30" spans="1:32">
      <c r="A30" s="40" t="s">
        <v>139</v>
      </c>
      <c r="D30">
        <v>664.39</v>
      </c>
      <c r="F30">
        <v>387.2</v>
      </c>
      <c r="G30" s="11">
        <f>F30+J30</f>
        <v>453.52499999999998</v>
      </c>
      <c r="H30">
        <v>-533.1</v>
      </c>
      <c r="I30">
        <v>1999.54</v>
      </c>
      <c r="J30" s="40">
        <f>434.526-368.201</f>
        <v>66.324999999999989</v>
      </c>
      <c r="U30" s="37" t="s">
        <v>584</v>
      </c>
      <c r="V30" s="37"/>
      <c r="W30" s="21" t="s">
        <v>140</v>
      </c>
    </row>
    <row r="31" spans="1:32">
      <c r="F31">
        <v>6.72</v>
      </c>
      <c r="H31">
        <v>1.23</v>
      </c>
      <c r="I31">
        <v>0.9</v>
      </c>
      <c r="N31" t="s">
        <v>1</v>
      </c>
    </row>
    <row r="32" spans="1:32" s="54" customFormat="1">
      <c r="A32" s="54" t="s">
        <v>141</v>
      </c>
      <c r="D32" s="54">
        <v>587.07000000000005</v>
      </c>
      <c r="E32" s="54" t="s">
        <v>142</v>
      </c>
      <c r="G32" s="11"/>
    </row>
    <row r="33" spans="1:32">
      <c r="N33" t="s">
        <v>1</v>
      </c>
    </row>
    <row r="34" spans="1:32">
      <c r="A34" s="35" t="s">
        <v>143</v>
      </c>
      <c r="B34">
        <v>1.1299999999999999</v>
      </c>
      <c r="C34">
        <v>10</v>
      </c>
      <c r="D34">
        <v>987.99</v>
      </c>
      <c r="F34">
        <v>-4.04</v>
      </c>
      <c r="G34" s="11">
        <f>F34+J34</f>
        <v>37.652900000000002</v>
      </c>
      <c r="H34">
        <v>-497.25</v>
      </c>
      <c r="I34">
        <v>1999.96</v>
      </c>
      <c r="J34" s="35">
        <f>51.1736-9.4807</f>
        <v>41.692900000000002</v>
      </c>
      <c r="L34">
        <v>2000</v>
      </c>
      <c r="M34">
        <f>G34/10</f>
        <v>3.7652900000000002</v>
      </c>
      <c r="N34">
        <f>H34</f>
        <v>-497.25</v>
      </c>
      <c r="O34">
        <f>D34</f>
        <v>987.99</v>
      </c>
      <c r="P34">
        <f>I34</f>
        <v>1999.96</v>
      </c>
      <c r="Q34">
        <f>F35/10</f>
        <v>0.11499999999999999</v>
      </c>
      <c r="R34">
        <f>H35</f>
        <v>0.86</v>
      </c>
      <c r="S34">
        <v>0</v>
      </c>
      <c r="T34">
        <f>I35</f>
        <v>1.2</v>
      </c>
      <c r="U34" s="45">
        <v>4.78932</v>
      </c>
      <c r="W34" s="21" t="s">
        <v>144</v>
      </c>
    </row>
    <row r="35" spans="1:32">
      <c r="F35">
        <v>1.1499999999999999</v>
      </c>
      <c r="H35">
        <v>0.86</v>
      </c>
      <c r="I35">
        <v>1.2</v>
      </c>
      <c r="N35" t="s">
        <v>1</v>
      </c>
    </row>
    <row r="36" spans="1:32" s="54" customFormat="1">
      <c r="A36" s="54" t="s">
        <v>145</v>
      </c>
      <c r="B36" s="54">
        <v>0.93</v>
      </c>
      <c r="D36" s="54">
        <v>550.77</v>
      </c>
      <c r="F36" s="54">
        <v>992.75</v>
      </c>
      <c r="G36" s="11">
        <f>F36+J36</f>
        <v>1071.154</v>
      </c>
      <c r="H36" s="54">
        <v>-462.48</v>
      </c>
      <c r="I36" s="54">
        <v>1999.71</v>
      </c>
      <c r="J36" s="54">
        <f>1071.07-992.666</f>
        <v>78.403999999999883</v>
      </c>
      <c r="K36" s="54" t="s">
        <v>146</v>
      </c>
    </row>
    <row r="37" spans="1:32">
      <c r="E37" s="6"/>
      <c r="F37">
        <v>0.91</v>
      </c>
      <c r="H37">
        <v>1.69</v>
      </c>
      <c r="I37">
        <v>0.59</v>
      </c>
      <c r="N37" t="s">
        <v>1</v>
      </c>
    </row>
    <row r="39" spans="1:32">
      <c r="A39" s="46" t="s">
        <v>147</v>
      </c>
      <c r="C39" t="s">
        <v>124</v>
      </c>
      <c r="M39" s="83"/>
      <c r="N39" s="83"/>
      <c r="O39" s="83"/>
      <c r="P39" s="83"/>
      <c r="Q39" s="83"/>
      <c r="R39" s="83"/>
      <c r="S39" s="83"/>
      <c r="T39" s="83"/>
      <c r="Y39" s="83"/>
      <c r="Z39" s="83"/>
      <c r="AA39" s="83"/>
      <c r="AB39" s="83"/>
      <c r="AC39" s="83"/>
      <c r="AD39" s="83"/>
      <c r="AE39" s="83"/>
      <c r="AF39" s="83"/>
    </row>
    <row r="40" spans="1:32">
      <c r="A40" s="35" t="s">
        <v>56</v>
      </c>
      <c r="B40">
        <v>1.1499999999999999</v>
      </c>
      <c r="D40">
        <v>1041.3900000000001</v>
      </c>
      <c r="E40" s="6"/>
      <c r="F40" s="25">
        <v>-0.54</v>
      </c>
      <c r="G40" s="11">
        <f>F40+J40</f>
        <v>41.152900000000002</v>
      </c>
      <c r="H40" s="25">
        <v>-535.86</v>
      </c>
      <c r="I40" s="25">
        <v>3000.15</v>
      </c>
      <c r="J40" s="35">
        <f>51.1736-9.4807</f>
        <v>41.692900000000002</v>
      </c>
      <c r="K40" s="41" t="s">
        <v>148</v>
      </c>
      <c r="L40">
        <v>3000</v>
      </c>
      <c r="M40">
        <f>G40/10</f>
        <v>4.1152899999999999</v>
      </c>
      <c r="N40">
        <f>H40</f>
        <v>-535.86</v>
      </c>
      <c r="O40">
        <f>D40</f>
        <v>1041.3900000000001</v>
      </c>
      <c r="P40">
        <f>I40</f>
        <v>3000.15</v>
      </c>
      <c r="Q40">
        <f>F41/10</f>
        <v>0.375</v>
      </c>
      <c r="R40">
        <f>H41</f>
        <v>0.61</v>
      </c>
      <c r="S40">
        <v>0</v>
      </c>
      <c r="T40">
        <f>I41</f>
        <v>0.61</v>
      </c>
      <c r="U40" s="21">
        <v>5.2309999999999999</v>
      </c>
      <c r="V40" s="21"/>
      <c r="W40" s="21" t="s">
        <v>149</v>
      </c>
      <c r="X40" s="21"/>
      <c r="Y40" s="43">
        <v>5.5665977220800002E-9</v>
      </c>
      <c r="Z40" s="43">
        <v>6.4062897396299999E-9</v>
      </c>
      <c r="AA40" s="43">
        <v>2.9156889189500001E-9</v>
      </c>
      <c r="AB40" s="43">
        <v>4.6331735487000004E-9</v>
      </c>
      <c r="AC40" t="s">
        <v>42</v>
      </c>
    </row>
    <row r="41" spans="1:32">
      <c r="E41" s="6"/>
      <c r="F41" s="25">
        <v>3.75</v>
      </c>
      <c r="H41" s="25">
        <v>0.61</v>
      </c>
      <c r="I41" s="25">
        <v>0.61</v>
      </c>
    </row>
    <row r="42" spans="1:32">
      <c r="A42" s="7" t="s">
        <v>150</v>
      </c>
      <c r="B42">
        <v>1.1000000000000001</v>
      </c>
      <c r="D42">
        <v>911.38</v>
      </c>
      <c r="F42" s="21">
        <v>63.44</v>
      </c>
      <c r="G42" s="11">
        <f>F42+J42</f>
        <v>112.161</v>
      </c>
      <c r="H42" s="21">
        <v>-535.21</v>
      </c>
      <c r="I42">
        <v>3000.89</v>
      </c>
      <c r="J42" s="35">
        <f>104.609-55.888</f>
        <v>48.720999999999997</v>
      </c>
      <c r="K42" s="41" t="s">
        <v>131</v>
      </c>
      <c r="L42">
        <v>3000</v>
      </c>
      <c r="M42" s="46">
        <f>G42/10-F43*2/10</f>
        <v>10.9001</v>
      </c>
      <c r="N42">
        <f>H42</f>
        <v>-535.21</v>
      </c>
      <c r="O42">
        <f>D42</f>
        <v>911.38</v>
      </c>
      <c r="P42">
        <f>I42</f>
        <v>3000.89</v>
      </c>
      <c r="Q42">
        <f>F43/10</f>
        <v>0.158</v>
      </c>
      <c r="R42">
        <f>H43</f>
        <v>0.55000000000000004</v>
      </c>
      <c r="S42">
        <v>0</v>
      </c>
      <c r="T42">
        <f>I43</f>
        <v>1.53</v>
      </c>
      <c r="U42" s="21">
        <v>6.2193399999999999</v>
      </c>
      <c r="V42" s="21"/>
      <c r="W42" s="21" t="s">
        <v>151</v>
      </c>
      <c r="X42" s="21"/>
      <c r="Y42" s="43">
        <v>5.89542326635E-9</v>
      </c>
      <c r="Z42" s="43">
        <v>5.7187036491200002E-9</v>
      </c>
      <c r="AA42" s="43">
        <v>2.4816615266299999E-9</v>
      </c>
      <c r="AB42" s="43">
        <v>4.3769148464800001E-9</v>
      </c>
      <c r="AC42" t="s">
        <v>152</v>
      </c>
    </row>
    <row r="43" spans="1:32">
      <c r="F43" s="21">
        <v>1.58</v>
      </c>
      <c r="H43">
        <v>0.55000000000000004</v>
      </c>
      <c r="I43">
        <v>1.53</v>
      </c>
    </row>
    <row r="44" spans="1:32">
      <c r="A44" s="35" t="s">
        <v>153</v>
      </c>
      <c r="B44">
        <v>1.06</v>
      </c>
      <c r="D44">
        <v>815.52</v>
      </c>
      <c r="F44">
        <v>141.66</v>
      </c>
      <c r="G44" s="11">
        <f>F44+J44</f>
        <v>196.31799999999998</v>
      </c>
      <c r="H44">
        <v>-531.91</v>
      </c>
      <c r="I44">
        <v>3000.6</v>
      </c>
      <c r="J44" s="35">
        <f>189.695-135.037</f>
        <v>54.657999999999987</v>
      </c>
      <c r="K44" s="41" t="s">
        <v>154</v>
      </c>
      <c r="L44">
        <v>3000</v>
      </c>
      <c r="M44" s="46">
        <f>G44/10-F45*2/10</f>
        <v>19.009799999999998</v>
      </c>
      <c r="N44">
        <f>H44</f>
        <v>-531.91</v>
      </c>
      <c r="O44">
        <f>D44</f>
        <v>815.52</v>
      </c>
      <c r="P44">
        <f>I44</f>
        <v>3000.6</v>
      </c>
      <c r="Q44">
        <f>F45/10</f>
        <v>0.311</v>
      </c>
      <c r="R44">
        <f>H45</f>
        <v>1.07</v>
      </c>
      <c r="S44">
        <v>0</v>
      </c>
      <c r="T44">
        <f>I45</f>
        <v>1.24</v>
      </c>
      <c r="U44" s="21">
        <v>6.1458199999999996</v>
      </c>
      <c r="V44" s="21"/>
      <c r="W44" s="21" t="s">
        <v>155</v>
      </c>
      <c r="X44" s="21"/>
      <c r="Y44" s="43">
        <v>2.65269143832E-9</v>
      </c>
      <c r="Z44" s="43">
        <v>3.2116147517E-10</v>
      </c>
      <c r="AA44" s="43">
        <v>1.8827314504999999E-9</v>
      </c>
      <c r="AB44" s="43">
        <v>1.8003356438800001E-9</v>
      </c>
      <c r="AC44" t="s">
        <v>156</v>
      </c>
    </row>
    <row r="45" spans="1:32">
      <c r="F45">
        <v>3.11</v>
      </c>
      <c r="H45">
        <v>1.07</v>
      </c>
      <c r="I45">
        <v>1.24</v>
      </c>
    </row>
    <row r="46" spans="1:32">
      <c r="A46" s="35" t="s">
        <v>157</v>
      </c>
      <c r="B46">
        <v>1.03</v>
      </c>
      <c r="D46">
        <v>748.22</v>
      </c>
      <c r="F46">
        <v>229.94</v>
      </c>
      <c r="G46" s="11">
        <f>F46+J46</f>
        <v>287.65199999999999</v>
      </c>
      <c r="H46">
        <v>-526.6</v>
      </c>
      <c r="I46">
        <v>3000.12</v>
      </c>
      <c r="J46" s="35">
        <f>267.44-209.728</f>
        <v>57.711999999999989</v>
      </c>
      <c r="K46" s="41" t="s">
        <v>158</v>
      </c>
      <c r="L46">
        <v>3000</v>
      </c>
      <c r="M46" s="46">
        <f>G46/10-F47/10</f>
        <v>28.208200000000001</v>
      </c>
      <c r="N46">
        <f>H46</f>
        <v>-526.6</v>
      </c>
      <c r="O46">
        <f>D46</f>
        <v>748.22</v>
      </c>
      <c r="P46">
        <f>I46</f>
        <v>3000.12</v>
      </c>
      <c r="Q46">
        <f>F47/10</f>
        <v>0.55700000000000005</v>
      </c>
      <c r="R46">
        <f>H47</f>
        <v>0.9</v>
      </c>
      <c r="S46">
        <v>0</v>
      </c>
      <c r="T46">
        <f>I47</f>
        <v>1.19</v>
      </c>
      <c r="U46" s="47">
        <v>6.5145600000000004</v>
      </c>
      <c r="V46" s="47"/>
      <c r="W46" s="21" t="s">
        <v>159</v>
      </c>
      <c r="X46" s="47"/>
      <c r="Y46" s="43">
        <v>7.3415150539000002E-10</v>
      </c>
      <c r="Z46" s="43">
        <v>1.1336679984099999E-9</v>
      </c>
      <c r="AA46" s="43">
        <v>8.1687444195800002E-10</v>
      </c>
      <c r="AB46" s="43">
        <v>1.85254101673E-9</v>
      </c>
      <c r="AC46" t="s">
        <v>160</v>
      </c>
    </row>
    <row r="47" spans="1:32">
      <c r="F47">
        <v>5.57</v>
      </c>
      <c r="H47">
        <v>0.9</v>
      </c>
      <c r="I47">
        <v>1.19</v>
      </c>
      <c r="U47" s="87"/>
      <c r="V47" s="87"/>
    </row>
    <row r="48" spans="1:32">
      <c r="A48" s="35" t="s">
        <v>161</v>
      </c>
      <c r="B48">
        <v>0.96</v>
      </c>
      <c r="D48">
        <v>605.80999999999995</v>
      </c>
      <c r="F48">
        <v>674.23</v>
      </c>
      <c r="G48" s="11">
        <f>F48+J48</f>
        <v>740.36899999999991</v>
      </c>
      <c r="H48">
        <v>-467.52</v>
      </c>
      <c r="I48">
        <v>3000.3</v>
      </c>
      <c r="J48" s="35">
        <f>731.036-664.897</f>
        <v>66.138999999999896</v>
      </c>
      <c r="L48">
        <v>3000</v>
      </c>
      <c r="M48" s="46">
        <f>G48/10-F49*2/10</f>
        <v>73.646899999999988</v>
      </c>
      <c r="N48">
        <f>H48</f>
        <v>-467.52</v>
      </c>
      <c r="O48">
        <f>D48</f>
        <v>605.80999999999995</v>
      </c>
      <c r="P48">
        <f>I48</f>
        <v>3000.3</v>
      </c>
      <c r="Q48">
        <f>F49/10</f>
        <v>0.19500000000000001</v>
      </c>
      <c r="R48">
        <f>H49</f>
        <v>1.74</v>
      </c>
      <c r="S48">
        <v>0</v>
      </c>
      <c r="T48">
        <f>I49</f>
        <v>0.65</v>
      </c>
      <c r="U48" s="47">
        <v>7.5670000000000002</v>
      </c>
      <c r="V48" s="47"/>
      <c r="X48" s="44"/>
      <c r="Y48" s="43">
        <v>2.6423721707799998E-10</v>
      </c>
      <c r="Z48" s="43">
        <v>2.32591560325E-10</v>
      </c>
      <c r="AA48" s="43">
        <v>2.5443756550300001E-10</v>
      </c>
      <c r="AB48" s="43">
        <v>2.7584353912699999E-10</v>
      </c>
      <c r="AC48" t="s">
        <v>162</v>
      </c>
    </row>
    <row r="49" spans="1:31">
      <c r="F49">
        <v>1.95</v>
      </c>
      <c r="H49">
        <v>1.74</v>
      </c>
      <c r="I49">
        <v>0.65</v>
      </c>
      <c r="U49" s="87"/>
      <c r="V49" s="87"/>
    </row>
    <row r="50" spans="1:31">
      <c r="A50" s="35" t="s">
        <v>163</v>
      </c>
      <c r="B50">
        <v>1.2</v>
      </c>
      <c r="D50">
        <v>1183.21</v>
      </c>
      <c r="E50" s="6"/>
      <c r="F50">
        <v>-32.86</v>
      </c>
      <c r="G50" s="11">
        <f>F50+J50</f>
        <v>4.6762999999999977</v>
      </c>
      <c r="H50">
        <v>-534.88</v>
      </c>
      <c r="I50">
        <v>2999.88</v>
      </c>
      <c r="J50" s="40">
        <f>-1.712--39.2483</f>
        <v>37.536299999999997</v>
      </c>
      <c r="L50">
        <v>3000</v>
      </c>
      <c r="M50">
        <f>G50/10</f>
        <v>0.46762999999999977</v>
      </c>
      <c r="N50">
        <f>H50</f>
        <v>-534.88</v>
      </c>
      <c r="O50">
        <f>D50</f>
        <v>1183.21</v>
      </c>
      <c r="P50">
        <f>I50</f>
        <v>2999.88</v>
      </c>
      <c r="Q50">
        <f>F51/10</f>
        <v>0.16999999999999998</v>
      </c>
      <c r="R50">
        <f>H51</f>
        <v>0.77</v>
      </c>
      <c r="S50">
        <v>0</v>
      </c>
      <c r="T50">
        <f>I51</f>
        <v>1.39</v>
      </c>
      <c r="U50" s="87">
        <v>5.8</v>
      </c>
      <c r="V50" s="87"/>
      <c r="W50" s="21" t="s">
        <v>164</v>
      </c>
      <c r="X50" s="46"/>
      <c r="Y50" s="43">
        <v>1.17559772788E-8</v>
      </c>
      <c r="Z50" s="43">
        <v>7.6545910310400005E-9</v>
      </c>
      <c r="AA50" s="43">
        <v>2.5956270147199999E-9</v>
      </c>
      <c r="AB50" s="43">
        <v>3.16745353473E-9</v>
      </c>
      <c r="AC50" t="s">
        <v>165</v>
      </c>
      <c r="AD50" t="s">
        <v>166</v>
      </c>
    </row>
    <row r="51" spans="1:31">
      <c r="E51" s="6"/>
      <c r="F51">
        <v>1.7</v>
      </c>
      <c r="H51">
        <v>0.77</v>
      </c>
      <c r="I51">
        <v>1.39</v>
      </c>
      <c r="L51" s="46">
        <v>3000</v>
      </c>
      <c r="M51" s="46">
        <v>0</v>
      </c>
      <c r="N51" s="46">
        <v>0</v>
      </c>
      <c r="O51" s="67">
        <v>1206.9922739799999</v>
      </c>
      <c r="P51" s="46">
        <v>3000</v>
      </c>
      <c r="Q51" s="46">
        <v>0</v>
      </c>
      <c r="R51" s="46">
        <v>0</v>
      </c>
      <c r="S51" s="46">
        <v>0</v>
      </c>
      <c r="T51" s="46">
        <v>0</v>
      </c>
      <c r="U51" s="90" t="s">
        <v>167</v>
      </c>
      <c r="V51" s="90"/>
    </row>
    <row r="52" spans="1:31">
      <c r="A52" s="35" t="s">
        <v>168</v>
      </c>
      <c r="B52">
        <v>0.95</v>
      </c>
      <c r="D52">
        <v>587.07000000000005</v>
      </c>
      <c r="F52" s="21">
        <v>803.38</v>
      </c>
      <c r="G52" s="11">
        <f>F52+J52</f>
        <v>869.15300000000002</v>
      </c>
      <c r="H52" s="21">
        <v>-496.9</v>
      </c>
      <c r="I52">
        <v>2999.77</v>
      </c>
      <c r="J52" s="35">
        <f t="array" ref="J52">869.746-803.973</f>
        <v>65.773000000000025</v>
      </c>
      <c r="K52" t="s">
        <v>169</v>
      </c>
      <c r="U52" s="21">
        <v>7.8974000000000002</v>
      </c>
      <c r="V52" s="21"/>
      <c r="W52" s="21"/>
      <c r="X52" s="21"/>
      <c r="Y52" s="43">
        <v>8.5836520802300005E-10</v>
      </c>
      <c r="Z52" s="43">
        <v>2.13503469523E-10</v>
      </c>
      <c r="AA52" s="43">
        <v>9.5608294833600003E-11</v>
      </c>
      <c r="AB52" s="43">
        <v>1.3735723706200001E-10</v>
      </c>
      <c r="AC52" t="s">
        <v>170</v>
      </c>
    </row>
    <row r="53" spans="1:31">
      <c r="F53" s="21">
        <v>6.05</v>
      </c>
      <c r="H53" s="21">
        <v>0.36</v>
      </c>
      <c r="I53">
        <v>0.56999999999999995</v>
      </c>
    </row>
    <row r="54" spans="1:31">
      <c r="A54" s="7" t="s">
        <v>171</v>
      </c>
      <c r="B54" s="66">
        <v>1</v>
      </c>
      <c r="C54" s="66"/>
      <c r="D54" s="66">
        <v>684.73</v>
      </c>
      <c r="E54" s="20"/>
      <c r="F54" s="66">
        <v>366.32</v>
      </c>
      <c r="G54" s="100">
        <f>F54+J54</f>
        <v>426.26499999999999</v>
      </c>
      <c r="H54" s="66">
        <v>-522.66</v>
      </c>
      <c r="I54" s="66">
        <v>3000.43</v>
      </c>
      <c r="J54" s="7">
        <f>436.879-376.934</f>
        <v>59.944999999999993</v>
      </c>
      <c r="K54" s="41" t="s">
        <v>172</v>
      </c>
      <c r="L54">
        <v>3000</v>
      </c>
      <c r="M54" s="46">
        <f>G54/10-F55/10</f>
        <v>42.407499999999999</v>
      </c>
      <c r="N54">
        <f>H54</f>
        <v>-522.66</v>
      </c>
      <c r="O54">
        <f>D54</f>
        <v>684.73</v>
      </c>
      <c r="P54">
        <f>I54</f>
        <v>3000.43</v>
      </c>
      <c r="Q54">
        <f>F55/10</f>
        <v>0.219</v>
      </c>
      <c r="R54">
        <f>H55</f>
        <v>0.64</v>
      </c>
      <c r="S54">
        <v>0</v>
      </c>
      <c r="T54">
        <f>I55</f>
        <v>1.03</v>
      </c>
      <c r="U54" s="21">
        <v>7.2641999999999998</v>
      </c>
      <c r="V54" s="21"/>
      <c r="W54" s="21" t="s">
        <v>173</v>
      </c>
      <c r="X54" s="21"/>
      <c r="Y54" s="43">
        <v>8.4095829564599995E-10</v>
      </c>
      <c r="Z54" s="43">
        <v>8.1658533933099999E-10</v>
      </c>
      <c r="AA54" s="43">
        <v>5.8462794193199995E-10</v>
      </c>
      <c r="AB54" s="43">
        <v>9.1605322766400004E-10</v>
      </c>
      <c r="AC54" t="s">
        <v>170</v>
      </c>
    </row>
    <row r="55" spans="1:31">
      <c r="A55" s="66"/>
      <c r="B55" s="66"/>
      <c r="C55" s="66"/>
      <c r="D55" s="66"/>
      <c r="E55" s="66"/>
      <c r="F55" s="66">
        <v>2.19</v>
      </c>
      <c r="G55" s="100"/>
      <c r="H55" s="66">
        <v>0.64</v>
      </c>
      <c r="I55" s="66">
        <v>1.03</v>
      </c>
      <c r="J55" s="66"/>
      <c r="U55" s="87"/>
      <c r="V55" s="87"/>
    </row>
    <row r="56" spans="1:31">
      <c r="A56" s="35" t="s">
        <v>174</v>
      </c>
      <c r="B56">
        <v>0.98499999999999999</v>
      </c>
      <c r="D56">
        <v>654.38</v>
      </c>
      <c r="F56">
        <v>455.83</v>
      </c>
      <c r="G56" s="11">
        <f>F56+J56</f>
        <v>523.97</v>
      </c>
      <c r="H56">
        <v>-515.30999999999995</v>
      </c>
      <c r="I56">
        <v>3000.33</v>
      </c>
      <c r="J56" s="35">
        <f>506.605-438.465</f>
        <v>68.140000000000043</v>
      </c>
      <c r="L56">
        <v>3000</v>
      </c>
      <c r="M56" s="46">
        <f>G56/10-F57/10</f>
        <v>52.004000000000005</v>
      </c>
      <c r="N56">
        <f>H56</f>
        <v>-515.30999999999995</v>
      </c>
      <c r="O56">
        <f>D56</f>
        <v>654.38</v>
      </c>
      <c r="P56">
        <f>I56</f>
        <v>3000.33</v>
      </c>
      <c r="Q56">
        <f>F57/10</f>
        <v>0.39300000000000002</v>
      </c>
      <c r="R56">
        <f>H57</f>
        <v>0.89</v>
      </c>
      <c r="S56">
        <v>0</v>
      </c>
      <c r="T56">
        <f>I57</f>
        <v>0.51</v>
      </c>
      <c r="U56" s="47">
        <v>7.665</v>
      </c>
      <c r="V56" s="47"/>
      <c r="W56" s="44"/>
      <c r="X56" s="44"/>
      <c r="Y56" s="43">
        <v>1.4772070260800001E-9</v>
      </c>
      <c r="Z56" s="43">
        <v>1.39737782573E-10</v>
      </c>
      <c r="AA56" s="43">
        <v>6.1367968712100001E-10</v>
      </c>
      <c r="AB56" s="43">
        <v>7.2020807859299997E-10</v>
      </c>
      <c r="AC56" t="s">
        <v>170</v>
      </c>
    </row>
    <row r="57" spans="1:31">
      <c r="F57">
        <v>3.93</v>
      </c>
      <c r="H57">
        <v>0.89</v>
      </c>
      <c r="I57">
        <v>0.51</v>
      </c>
      <c r="U57" s="87"/>
      <c r="V57" s="87"/>
    </row>
    <row r="58" spans="1:31">
      <c r="A58" s="35" t="s">
        <v>175</v>
      </c>
      <c r="B58">
        <v>1.125</v>
      </c>
      <c r="D58" s="21">
        <v>974.94</v>
      </c>
      <c r="F58" s="25">
        <v>23.24</v>
      </c>
      <c r="G58" s="11">
        <f>F58+J58</f>
        <v>67.349599999999995</v>
      </c>
      <c r="H58" s="25">
        <v>-535.91999999999996</v>
      </c>
      <c r="I58" s="25">
        <v>2999.65</v>
      </c>
      <c r="J58">
        <f>57.6618-13.5522</f>
        <v>44.1096</v>
      </c>
      <c r="L58">
        <v>3000</v>
      </c>
      <c r="M58" s="46">
        <f>G58/10+F59/10</f>
        <v>6.8559599999999996</v>
      </c>
      <c r="N58">
        <f>H58</f>
        <v>-535.91999999999996</v>
      </c>
      <c r="O58">
        <f>D58</f>
        <v>974.94</v>
      </c>
      <c r="P58">
        <f>I58</f>
        <v>2999.65</v>
      </c>
      <c r="Q58">
        <f>F59/10</f>
        <v>0.121</v>
      </c>
      <c r="R58">
        <f>H59</f>
        <v>0.32</v>
      </c>
      <c r="S58">
        <v>0</v>
      </c>
      <c r="T58">
        <f>I59</f>
        <v>0.98</v>
      </c>
      <c r="U58" s="45">
        <v>5.3334400000000004</v>
      </c>
      <c r="V58" s="87"/>
      <c r="W58" s="21" t="s">
        <v>176</v>
      </c>
      <c r="X58" s="87"/>
      <c r="Y58" s="87"/>
      <c r="Z58" s="87"/>
      <c r="AA58" s="87"/>
      <c r="AB58" s="87"/>
      <c r="AC58" s="87"/>
      <c r="AD58" s="87"/>
      <c r="AE58" s="87"/>
    </row>
    <row r="59" spans="1:31">
      <c r="F59" s="25">
        <v>1.21</v>
      </c>
      <c r="H59" s="25">
        <v>0.32</v>
      </c>
      <c r="I59" s="25">
        <v>0.98</v>
      </c>
      <c r="U59" s="87"/>
      <c r="V59" s="87"/>
      <c r="W59" s="87"/>
      <c r="X59" s="87"/>
      <c r="Y59" s="87"/>
      <c r="Z59" s="87"/>
      <c r="AA59" s="87"/>
      <c r="AB59" s="87"/>
      <c r="AC59" s="87"/>
      <c r="AD59" s="87"/>
      <c r="AE59" s="87"/>
    </row>
    <row r="60" spans="1:31">
      <c r="A60" t="s">
        <v>177</v>
      </c>
    </row>
    <row r="61" spans="1:31">
      <c r="A61" t="s">
        <v>178</v>
      </c>
      <c r="B61">
        <v>1.1499999999999999</v>
      </c>
      <c r="D61" s="21">
        <v>1041.3900000000001</v>
      </c>
      <c r="F61" s="25">
        <v>-6.6</v>
      </c>
      <c r="G61" s="11">
        <f>F61+J61</f>
        <v>34.809449999999998</v>
      </c>
      <c r="H61" s="25">
        <v>-545.20000000000005</v>
      </c>
      <c r="I61" s="25">
        <v>2499.9499999999998</v>
      </c>
      <c r="J61">
        <f>33.432--7.97745</f>
        <v>41.40945</v>
      </c>
      <c r="L61">
        <v>2500</v>
      </c>
      <c r="M61">
        <f>G61/10</f>
        <v>3.4809449999999997</v>
      </c>
      <c r="N61">
        <f>H61</f>
        <v>-545.20000000000005</v>
      </c>
      <c r="O61">
        <f>D61</f>
        <v>1041.3900000000001</v>
      </c>
      <c r="P61">
        <f>I61</f>
        <v>2499.9499999999998</v>
      </c>
      <c r="Q61">
        <f>F62/10</f>
        <v>0.20400000000000001</v>
      </c>
      <c r="R61">
        <f>H62</f>
        <v>0.63</v>
      </c>
      <c r="S61">
        <v>0</v>
      </c>
      <c r="T61">
        <f>I62</f>
        <v>1.26</v>
      </c>
      <c r="U61" s="45">
        <v>4.5551000000000004</v>
      </c>
      <c r="W61" s="21" t="s">
        <v>179</v>
      </c>
    </row>
    <row r="62" spans="1:31">
      <c r="F62" s="25">
        <v>2.04</v>
      </c>
      <c r="H62" s="25">
        <v>0.63</v>
      </c>
      <c r="I62" s="25">
        <v>1.26</v>
      </c>
    </row>
    <row r="63" spans="1:31">
      <c r="A63" t="s">
        <v>180</v>
      </c>
      <c r="B63">
        <v>1.1000000000000001</v>
      </c>
      <c r="D63" s="21">
        <v>911.38</v>
      </c>
      <c r="F63" s="25">
        <v>50.09</v>
      </c>
      <c r="G63" s="11">
        <f>F63+J63</f>
        <v>99.04910000000001</v>
      </c>
      <c r="H63" s="25">
        <v>-543.01</v>
      </c>
      <c r="I63" s="25">
        <v>2500.7800000000002</v>
      </c>
      <c r="J63">
        <f>85.376-36.4169</f>
        <v>48.959100000000007</v>
      </c>
      <c r="L63">
        <v>2500</v>
      </c>
      <c r="M63">
        <f>G63/10</f>
        <v>9.904910000000001</v>
      </c>
      <c r="N63">
        <f>H63</f>
        <v>-543.01</v>
      </c>
      <c r="O63">
        <f>D63</f>
        <v>911.38</v>
      </c>
      <c r="P63">
        <f>I63</f>
        <v>2500.7800000000002</v>
      </c>
      <c r="Q63">
        <f>F64/10</f>
        <v>0.17499999999999999</v>
      </c>
      <c r="R63">
        <f>H64</f>
        <v>0.45</v>
      </c>
      <c r="S63">
        <v>0</v>
      </c>
      <c r="T63">
        <f>I64</f>
        <v>1.35</v>
      </c>
      <c r="U63" s="45">
        <v>5.2835200000000002</v>
      </c>
      <c r="W63" s="21" t="s">
        <v>181</v>
      </c>
    </row>
    <row r="64" spans="1:31">
      <c r="F64" s="25">
        <v>1.75</v>
      </c>
      <c r="H64" s="25">
        <v>0.45</v>
      </c>
      <c r="I64" s="25">
        <v>1.35</v>
      </c>
    </row>
    <row r="65" spans="1:31">
      <c r="A65" t="s">
        <v>182</v>
      </c>
      <c r="B65">
        <v>1.06</v>
      </c>
      <c r="D65" s="21">
        <v>815.52</v>
      </c>
      <c r="F65" s="25">
        <v>121.25</v>
      </c>
      <c r="G65" s="11">
        <f>F65+J65</f>
        <v>175.61799999999999</v>
      </c>
      <c r="H65" s="25">
        <v>-539.17999999999995</v>
      </c>
      <c r="I65" s="25">
        <v>2500.7199999999998</v>
      </c>
      <c r="J65">
        <f>171.406-117.038</f>
        <v>54.368000000000009</v>
      </c>
      <c r="L65">
        <v>2500</v>
      </c>
      <c r="M65">
        <f>G65/10</f>
        <v>17.561799999999998</v>
      </c>
      <c r="N65">
        <f>H65</f>
        <v>-539.17999999999995</v>
      </c>
      <c r="O65">
        <f>D65</f>
        <v>815.52</v>
      </c>
      <c r="P65">
        <f>I65</f>
        <v>2500.7199999999998</v>
      </c>
      <c r="Q65">
        <f>F66/10</f>
        <v>0.314</v>
      </c>
      <c r="R65">
        <f>H66</f>
        <v>0.61</v>
      </c>
      <c r="S65">
        <v>0</v>
      </c>
      <c r="T65">
        <f>I66</f>
        <v>0.79</v>
      </c>
      <c r="U65" s="45">
        <v>6.9297000000000004</v>
      </c>
      <c r="W65" s="21" t="s">
        <v>183</v>
      </c>
    </row>
    <row r="66" spans="1:31">
      <c r="F66" s="25">
        <v>3.14</v>
      </c>
      <c r="H66" s="25">
        <v>0.61</v>
      </c>
      <c r="I66" s="25">
        <v>0.79</v>
      </c>
    </row>
    <row r="67" spans="1:31">
      <c r="A67" t="s">
        <v>184</v>
      </c>
      <c r="B67">
        <v>1.03</v>
      </c>
      <c r="D67" s="21">
        <v>748.22</v>
      </c>
      <c r="F67" s="25">
        <v>191.54</v>
      </c>
      <c r="G67" s="11">
        <f>F67+J67</f>
        <v>249.42400000000001</v>
      </c>
      <c r="H67" s="25">
        <v>-535.34</v>
      </c>
      <c r="I67" s="25">
        <v>2500.9499999999998</v>
      </c>
      <c r="J67">
        <f>272.002-214.118</f>
        <v>57.884000000000015</v>
      </c>
      <c r="L67">
        <v>2500</v>
      </c>
      <c r="M67">
        <f>G67/10+F68/10</f>
        <v>25.392399999999999</v>
      </c>
      <c r="N67">
        <f>H67</f>
        <v>-535.34</v>
      </c>
      <c r="O67">
        <f>D67</f>
        <v>748.22</v>
      </c>
      <c r="P67">
        <f>I67</f>
        <v>2500.9499999999998</v>
      </c>
      <c r="Q67">
        <f>F68/10</f>
        <v>0.45</v>
      </c>
      <c r="R67">
        <f>H68</f>
        <v>0.75</v>
      </c>
      <c r="S67">
        <v>0</v>
      </c>
      <c r="T67">
        <f>I68</f>
        <v>1.05</v>
      </c>
      <c r="U67" s="45">
        <v>7.8704000000000001</v>
      </c>
      <c r="W67" s="21" t="s">
        <v>185</v>
      </c>
    </row>
    <row r="68" spans="1:31">
      <c r="F68" s="25">
        <v>4.5</v>
      </c>
      <c r="H68" s="25">
        <v>0.75</v>
      </c>
      <c r="I68" s="25">
        <v>1.05</v>
      </c>
    </row>
    <row r="69" spans="1:31">
      <c r="A69" t="s">
        <v>186</v>
      </c>
      <c r="D69" s="21">
        <v>1153.8800000000001</v>
      </c>
      <c r="F69" s="25">
        <v>-34.89</v>
      </c>
      <c r="G69" s="11">
        <f>F69+J69</f>
        <v>5.1825499999999991</v>
      </c>
      <c r="H69" s="25">
        <v>-543.6</v>
      </c>
      <c r="I69" s="25">
        <v>2500.0700000000002</v>
      </c>
      <c r="J69">
        <f>2.58655--37.486</f>
        <v>40.07255</v>
      </c>
      <c r="L69">
        <v>2500</v>
      </c>
      <c r="M69">
        <f>G69/10+F70/10</f>
        <v>0.61225499999999988</v>
      </c>
      <c r="N69">
        <f>H69</f>
        <v>-543.6</v>
      </c>
      <c r="O69">
        <f>D69</f>
        <v>1153.8800000000001</v>
      </c>
      <c r="P69">
        <f>I69</f>
        <v>2500.0700000000002</v>
      </c>
      <c r="Q69">
        <f>F70/10</f>
        <v>9.4E-2</v>
      </c>
      <c r="R69">
        <f>H70</f>
        <v>0.56000000000000005</v>
      </c>
      <c r="S69">
        <v>0</v>
      </c>
      <c r="T69">
        <f>I70</f>
        <v>1.45</v>
      </c>
      <c r="U69" s="45">
        <v>4.8432199999999996</v>
      </c>
      <c r="V69" s="87"/>
      <c r="W69" s="21" t="s">
        <v>187</v>
      </c>
      <c r="X69" s="87"/>
      <c r="Y69" s="87"/>
      <c r="Z69" s="87"/>
      <c r="AA69" s="87"/>
      <c r="AB69" s="87"/>
      <c r="AC69" s="87"/>
      <c r="AD69" s="87"/>
      <c r="AE69" s="87"/>
    </row>
    <row r="70" spans="1:31">
      <c r="F70" s="25">
        <v>0.94</v>
      </c>
      <c r="H70" s="25">
        <v>0.56000000000000005</v>
      </c>
      <c r="I70" s="25">
        <v>1.45</v>
      </c>
      <c r="T70" s="87"/>
      <c r="U70" s="87"/>
      <c r="V70" s="87"/>
      <c r="W70" s="87"/>
      <c r="X70" s="87"/>
      <c r="Y70" s="87"/>
      <c r="Z70" s="87"/>
      <c r="AA70" s="87"/>
      <c r="AB70" s="87"/>
      <c r="AC70" s="87"/>
      <c r="AD70" s="87"/>
      <c r="AE70" s="87"/>
    </row>
    <row r="71" spans="1:31" s="66" customFormat="1">
      <c r="A71" s="66" t="s">
        <v>188</v>
      </c>
      <c r="D71" s="66" t="s">
        <v>189</v>
      </c>
      <c r="E71" s="66" t="s">
        <v>190</v>
      </c>
      <c r="F71" s="24"/>
      <c r="G71" s="100"/>
    </row>
    <row r="72" spans="1:31" s="1" customFormat="1">
      <c r="A72" s="1" t="s">
        <v>5</v>
      </c>
      <c r="B72" s="1" t="s">
        <v>6</v>
      </c>
      <c r="C72" s="1" t="s">
        <v>7</v>
      </c>
      <c r="D72" s="1" t="s">
        <v>8</v>
      </c>
      <c r="E72" s="1" t="s">
        <v>9</v>
      </c>
      <c r="G72" s="11" t="s">
        <v>10</v>
      </c>
      <c r="H72" s="1" t="s">
        <v>11</v>
      </c>
      <c r="I72" s="1" t="s">
        <v>1</v>
      </c>
      <c r="J72" s="1" t="s">
        <v>6</v>
      </c>
    </row>
    <row r="73" spans="1:31" s="1" customFormat="1">
      <c r="A73" s="1">
        <v>14</v>
      </c>
      <c r="B73" s="1">
        <v>2</v>
      </c>
      <c r="C73" s="1">
        <v>16</v>
      </c>
      <c r="D73" s="1">
        <v>48</v>
      </c>
      <c r="G73" s="11"/>
      <c r="H73" s="4">
        <f>B73*72/E74</f>
        <v>8.6254402568464436E-2</v>
      </c>
      <c r="J73" s="5">
        <f>B73*2/(A73+B73+C73)</f>
        <v>0.125</v>
      </c>
      <c r="K73" s="1">
        <f>C73*(C74+D74*2)/E74</f>
        <v>0.5758918944821142</v>
      </c>
      <c r="L73" s="5"/>
      <c r="M73" s="1" t="s">
        <v>1</v>
      </c>
    </row>
    <row r="74" spans="1:31" s="1" customFormat="1">
      <c r="A74" s="1">
        <v>24.31</v>
      </c>
      <c r="B74" s="1">
        <v>55.85</v>
      </c>
      <c r="C74" s="1">
        <v>28.09</v>
      </c>
      <c r="D74" s="1">
        <v>16</v>
      </c>
      <c r="E74" s="1">
        <f>+A74*A73+B74*B73+C74*C73+D74*D73</f>
        <v>1669.48</v>
      </c>
      <c r="G74" s="50">
        <v>6.0220000000000003E+23</v>
      </c>
    </row>
    <row r="75" spans="1:31" s="1" customFormat="1">
      <c r="A75" s="15" t="s">
        <v>191</v>
      </c>
      <c r="G75" s="11"/>
      <c r="I75" s="2"/>
      <c r="U75" s="88"/>
      <c r="V75" s="88"/>
    </row>
    <row r="76" spans="1:31" s="1" customFormat="1">
      <c r="A76" t="s">
        <v>89</v>
      </c>
      <c r="B76" t="s">
        <v>90</v>
      </c>
      <c r="C76" t="s">
        <v>91</v>
      </c>
      <c r="D76" t="s">
        <v>12</v>
      </c>
      <c r="E76" t="s">
        <v>92</v>
      </c>
      <c r="F76" t="s">
        <v>93</v>
      </c>
      <c r="G76" s="11" t="s">
        <v>13</v>
      </c>
      <c r="H76" t="s">
        <v>14</v>
      </c>
      <c r="I76" t="s">
        <v>15</v>
      </c>
      <c r="J76" t="s">
        <v>16</v>
      </c>
      <c r="K76" t="s">
        <v>192</v>
      </c>
      <c r="M76" s="83" t="s">
        <v>17</v>
      </c>
      <c r="N76" s="83" t="s">
        <v>18</v>
      </c>
      <c r="O76" s="83" t="s">
        <v>19</v>
      </c>
      <c r="P76" s="83" t="s">
        <v>15</v>
      </c>
      <c r="Q76" s="83" t="s">
        <v>20</v>
      </c>
      <c r="R76" s="83" t="s">
        <v>21</v>
      </c>
      <c r="S76" s="83" t="s">
        <v>22</v>
      </c>
      <c r="T76" s="83" t="s">
        <v>23</v>
      </c>
      <c r="U76" s="88"/>
      <c r="V76" s="88"/>
      <c r="W76" s="1" t="s">
        <v>24</v>
      </c>
      <c r="Y76" s="83" t="s">
        <v>5</v>
      </c>
      <c r="Z76" s="83" t="s">
        <v>6</v>
      </c>
      <c r="AA76" s="83" t="s">
        <v>7</v>
      </c>
      <c r="AB76" s="83" t="s">
        <v>8</v>
      </c>
    </row>
    <row r="77" spans="1:31">
      <c r="A77" s="7" t="s">
        <v>193</v>
      </c>
      <c r="B77">
        <v>1.03</v>
      </c>
      <c r="C77">
        <v>0</v>
      </c>
      <c r="D77">
        <v>748.22</v>
      </c>
      <c r="E77" s="6" t="e">
        <f>H$85/(D77*1E-30*#REF!)/1000000</f>
        <v>#REF!</v>
      </c>
      <c r="F77" s="25">
        <v>276.20999999999998</v>
      </c>
      <c r="G77" s="11">
        <f>F77+J77</f>
        <v>333.13699999999994</v>
      </c>
      <c r="H77" s="25">
        <v>-502.88</v>
      </c>
      <c r="I77" s="25">
        <v>3999.3</v>
      </c>
      <c r="J77" s="40">
        <f>324.775-267.848</f>
        <v>56.926999999999964</v>
      </c>
      <c r="L77">
        <v>4000</v>
      </c>
      <c r="M77">
        <f>G77/10</f>
        <v>33.313699999999997</v>
      </c>
      <c r="N77">
        <f>H77</f>
        <v>-502.88</v>
      </c>
      <c r="O77">
        <f>D77</f>
        <v>748.22</v>
      </c>
      <c r="P77">
        <f>I77</f>
        <v>3999.3</v>
      </c>
      <c r="Q77">
        <f>F78/10</f>
        <v>0.29500000000000004</v>
      </c>
      <c r="R77">
        <f>H78</f>
        <v>0.97</v>
      </c>
      <c r="S77">
        <v>0</v>
      </c>
      <c r="T77">
        <f>I78</f>
        <v>0.41</v>
      </c>
      <c r="U77" s="47">
        <v>6.6349999999999998</v>
      </c>
      <c r="V77" s="47"/>
      <c r="W77" s="21" t="s">
        <v>194</v>
      </c>
      <c r="X77" s="44"/>
      <c r="Y77" s="43">
        <v>8.0813616960900008E-9</v>
      </c>
      <c r="Z77" s="43">
        <v>8.7748098373300007E-9</v>
      </c>
      <c r="AA77" s="43">
        <v>7.4526676514299998E-9</v>
      </c>
      <c r="AB77" s="43">
        <v>6.6969021925100001E-9</v>
      </c>
    </row>
    <row r="78" spans="1:31">
      <c r="A78" t="s">
        <v>195</v>
      </c>
      <c r="E78" s="6"/>
      <c r="F78" s="25">
        <v>2.95</v>
      </c>
      <c r="H78" s="25">
        <v>0.97</v>
      </c>
      <c r="I78" s="25">
        <v>0.41</v>
      </c>
      <c r="U78" s="87"/>
      <c r="V78" s="87"/>
    </row>
    <row r="79" spans="1:31">
      <c r="A79" s="7" t="s">
        <v>196</v>
      </c>
      <c r="B79">
        <v>0.95</v>
      </c>
      <c r="D79" s="61">
        <v>587.07000000000005</v>
      </c>
      <c r="F79" s="25">
        <v>835.82</v>
      </c>
      <c r="G79" s="11">
        <f>F79+J79</f>
        <v>901.15300000000013</v>
      </c>
      <c r="H79" s="25">
        <v>-477.25</v>
      </c>
      <c r="I79" s="25">
        <v>4000.69</v>
      </c>
      <c r="J79" s="40">
        <f>877.345-812.012</f>
        <v>65.333000000000084</v>
      </c>
      <c r="L79">
        <v>4000</v>
      </c>
      <c r="M79">
        <f>G79/10</f>
        <v>90.115300000000019</v>
      </c>
      <c r="N79">
        <f>H79</f>
        <v>-477.25</v>
      </c>
      <c r="O79">
        <f>D79</f>
        <v>587.07000000000005</v>
      </c>
      <c r="P79">
        <f>I79</f>
        <v>4000.69</v>
      </c>
      <c r="Q79">
        <f>F80/10</f>
        <v>0.307</v>
      </c>
      <c r="R79">
        <f>H80</f>
        <v>1.61</v>
      </c>
      <c r="S79">
        <v>0</v>
      </c>
      <c r="T79">
        <f>I80</f>
        <v>1.27</v>
      </c>
      <c r="U79" s="47">
        <v>7.2750000000000004</v>
      </c>
      <c r="V79" s="47"/>
      <c r="W79" s="21" t="s">
        <v>197</v>
      </c>
      <c r="X79" s="44"/>
      <c r="Y79" s="43">
        <v>5.1176121426899995E-10</v>
      </c>
      <c r="Z79" s="43">
        <v>5.7666664956299997E-10</v>
      </c>
      <c r="AA79" s="43">
        <v>3.2866894787999998E-10</v>
      </c>
      <c r="AB79" s="43">
        <v>7.4529878713400001E-10</v>
      </c>
      <c r="AC79" t="s">
        <v>42</v>
      </c>
    </row>
    <row r="80" spans="1:31">
      <c r="A80" t="s">
        <v>198</v>
      </c>
      <c r="D80" s="13"/>
      <c r="F80" s="25">
        <v>3.07</v>
      </c>
      <c r="H80" s="25">
        <v>1.61</v>
      </c>
      <c r="I80" s="25">
        <v>1.27</v>
      </c>
      <c r="U80" s="87"/>
      <c r="V80" s="87"/>
    </row>
    <row r="81" spans="1:29">
      <c r="A81" s="7" t="s">
        <v>199</v>
      </c>
      <c r="B81">
        <v>1.25</v>
      </c>
      <c r="D81" s="61">
        <v>1337.36</v>
      </c>
      <c r="F81">
        <v>-31.75</v>
      </c>
      <c r="G81" s="11">
        <f>F81+J81</f>
        <v>1.9842000000000013</v>
      </c>
      <c r="H81" s="21">
        <v>-497.46</v>
      </c>
      <c r="I81">
        <v>4000.47</v>
      </c>
      <c r="J81" s="35">
        <f>-0.1797--33.9139</f>
        <v>33.734200000000001</v>
      </c>
      <c r="K81" t="s">
        <v>200</v>
      </c>
      <c r="L81" s="54">
        <v>4000</v>
      </c>
      <c r="M81" s="69">
        <v>-0.23</v>
      </c>
      <c r="N81">
        <f>H81</f>
        <v>-497.46</v>
      </c>
      <c r="O81">
        <f>D81</f>
        <v>1337.36</v>
      </c>
      <c r="P81">
        <f>I81</f>
        <v>4000.47</v>
      </c>
      <c r="U81" s="47">
        <v>4.2541500000000001</v>
      </c>
      <c r="V81" s="47"/>
      <c r="W81" s="21"/>
      <c r="X81" s="21"/>
      <c r="Y81" s="43">
        <v>2.60933351185E-8</v>
      </c>
      <c r="Z81" s="43">
        <v>1.9392356272100001E-8</v>
      </c>
      <c r="AA81" s="43">
        <v>1.18823944976E-8</v>
      </c>
      <c r="AB81" s="43">
        <v>1.9184657974599999E-8</v>
      </c>
    </row>
    <row r="82" spans="1:29">
      <c r="A82" t="s">
        <v>201</v>
      </c>
      <c r="D82" s="61"/>
      <c r="F82">
        <v>0.18</v>
      </c>
      <c r="G82" s="30"/>
      <c r="H82" s="21">
        <v>2.34</v>
      </c>
      <c r="I82">
        <v>0.7</v>
      </c>
      <c r="L82" s="46">
        <v>4000</v>
      </c>
      <c r="M82" s="46">
        <v>0</v>
      </c>
      <c r="N82" s="46">
        <v>0</v>
      </c>
      <c r="O82" s="67">
        <f>1315-10-5-40</f>
        <v>1260</v>
      </c>
      <c r="P82" s="46">
        <v>4000</v>
      </c>
      <c r="Q82" s="46">
        <v>0</v>
      </c>
      <c r="R82" s="46">
        <v>0</v>
      </c>
      <c r="S82" s="46">
        <v>0</v>
      </c>
      <c r="T82" s="46">
        <v>0</v>
      </c>
      <c r="U82" s="87"/>
      <c r="V82" s="87"/>
      <c r="W82" s="21" t="s">
        <v>202</v>
      </c>
    </row>
    <row r="83" spans="1:29">
      <c r="A83" s="7" t="s">
        <v>203</v>
      </c>
      <c r="B83">
        <v>1</v>
      </c>
      <c r="D83" s="61">
        <v>684.73</v>
      </c>
      <c r="F83" s="25">
        <v>421.75</v>
      </c>
      <c r="G83" s="11">
        <f>F83+J83</f>
        <v>476.30200000000002</v>
      </c>
      <c r="H83" s="25">
        <v>-494.28</v>
      </c>
      <c r="I83" s="25">
        <v>3999.72</v>
      </c>
      <c r="J83" s="40">
        <f>461.005-406.453</f>
        <v>54.552000000000021</v>
      </c>
      <c r="K83" t="s">
        <v>204</v>
      </c>
      <c r="L83">
        <v>4000</v>
      </c>
      <c r="M83" s="87">
        <f>G83/10</f>
        <v>47.630200000000002</v>
      </c>
      <c r="N83">
        <f>H83</f>
        <v>-494.28</v>
      </c>
      <c r="O83">
        <f>D83</f>
        <v>684.73</v>
      </c>
      <c r="P83">
        <f>I83</f>
        <v>3999.72</v>
      </c>
      <c r="Q83">
        <f>F84/10</f>
        <v>0.315</v>
      </c>
      <c r="R83">
        <f>H84</f>
        <v>0.39</v>
      </c>
      <c r="S83">
        <v>0</v>
      </c>
      <c r="T83">
        <f>I84</f>
        <v>1.29</v>
      </c>
      <c r="U83" s="47">
        <v>5.7576499999999999</v>
      </c>
      <c r="V83" s="47"/>
      <c r="W83" s="21" t="s">
        <v>205</v>
      </c>
      <c r="X83" s="21"/>
      <c r="Y83" s="43">
        <v>3.53918511608E-9</v>
      </c>
      <c r="Z83" s="43">
        <v>8.6520726726999994E-9</v>
      </c>
      <c r="AA83" s="43">
        <v>3.6575945093000001E-9</v>
      </c>
      <c r="AB83" s="43">
        <v>5.2405944547899996E-9</v>
      </c>
    </row>
    <row r="84" spans="1:29">
      <c r="A84" t="s">
        <v>206</v>
      </c>
      <c r="D84" s="61"/>
      <c r="F84" s="25">
        <v>3.15</v>
      </c>
      <c r="H84" s="25">
        <v>0.39</v>
      </c>
      <c r="I84" s="25">
        <v>1.29</v>
      </c>
      <c r="U84" s="87"/>
      <c r="V84" s="87"/>
    </row>
    <row r="85" spans="1:29">
      <c r="A85" s="7" t="s">
        <v>207</v>
      </c>
      <c r="B85">
        <v>1.06</v>
      </c>
      <c r="D85" s="61">
        <v>815.52</v>
      </c>
      <c r="F85" s="25">
        <v>170.86</v>
      </c>
      <c r="G85" s="11">
        <f>F85+J85</f>
        <v>225.208</v>
      </c>
      <c r="H85" s="25">
        <v>-505.65</v>
      </c>
      <c r="I85" s="25">
        <v>4000</v>
      </c>
      <c r="J85" s="40">
        <f>236.646-182.298</f>
        <v>54.347999999999985</v>
      </c>
      <c r="L85">
        <v>4000</v>
      </c>
      <c r="M85">
        <f>G85/10</f>
        <v>22.520800000000001</v>
      </c>
      <c r="N85">
        <f>H85</f>
        <v>-505.65</v>
      </c>
      <c r="O85">
        <f>D85</f>
        <v>815.52</v>
      </c>
      <c r="P85">
        <f>I85</f>
        <v>4000</v>
      </c>
      <c r="Q85">
        <f>F86/10</f>
        <v>0.32</v>
      </c>
      <c r="R85">
        <f>H86</f>
        <v>0.73</v>
      </c>
      <c r="S85">
        <v>0</v>
      </c>
      <c r="T85">
        <f>I86</f>
        <v>0.18</v>
      </c>
      <c r="U85" s="47">
        <v>5.4436999999999998</v>
      </c>
      <c r="V85" s="47"/>
      <c r="W85" s="21" t="s">
        <v>208</v>
      </c>
      <c r="X85" s="21"/>
      <c r="Y85" s="43">
        <v>7.8817383947700001E-9</v>
      </c>
      <c r="Z85" s="43">
        <v>1.0894338285E-8</v>
      </c>
      <c r="AA85" s="43">
        <v>7.5721929001900003E-9</v>
      </c>
      <c r="AB85" s="43">
        <v>9.0039492289099999E-9</v>
      </c>
      <c r="AC85" t="s">
        <v>42</v>
      </c>
    </row>
    <row r="86" spans="1:29">
      <c r="A86" t="s">
        <v>209</v>
      </c>
      <c r="D86" s="61"/>
      <c r="F86" s="25">
        <v>3.2</v>
      </c>
      <c r="H86" s="25">
        <v>0.73</v>
      </c>
      <c r="I86" s="25">
        <v>0.18</v>
      </c>
      <c r="U86" s="87"/>
      <c r="V86" s="87"/>
    </row>
    <row r="87" spans="1:29">
      <c r="A87" s="7" t="s">
        <v>210</v>
      </c>
      <c r="B87">
        <v>1.1100000000000001</v>
      </c>
      <c r="D87" s="61">
        <v>911.38</v>
      </c>
      <c r="F87" s="25">
        <v>80.11</v>
      </c>
      <c r="G87" s="11">
        <f>F87+J87</f>
        <v>128.27859999999998</v>
      </c>
      <c r="H87" s="25">
        <v>-507.84</v>
      </c>
      <c r="I87" s="25">
        <v>3999.15</v>
      </c>
      <c r="J87" s="40">
        <f>125.477-77.3084</f>
        <v>48.168599999999998</v>
      </c>
      <c r="L87">
        <v>4000</v>
      </c>
      <c r="M87" s="46">
        <f>G87/10-0.39</f>
        <v>12.437859999999997</v>
      </c>
      <c r="N87">
        <f>H87</f>
        <v>-507.84</v>
      </c>
      <c r="O87">
        <f>D87</f>
        <v>911.38</v>
      </c>
      <c r="P87">
        <f>I87</f>
        <v>3999.15</v>
      </c>
      <c r="Q87">
        <f>F88/10</f>
        <v>0.39600000000000002</v>
      </c>
      <c r="R87">
        <f>H88</f>
        <v>0.49</v>
      </c>
      <c r="S87">
        <v>0</v>
      </c>
      <c r="T87">
        <f>I88</f>
        <v>0.65</v>
      </c>
      <c r="U87" s="45">
        <v>5.3334400000000004</v>
      </c>
      <c r="V87" s="8"/>
      <c r="W87" s="21" t="s">
        <v>211</v>
      </c>
      <c r="X87" s="40"/>
      <c r="Y87" s="43">
        <v>1.7177512952799999E-8</v>
      </c>
      <c r="Z87" s="43">
        <v>2.1812274217799999E-8</v>
      </c>
      <c r="AA87" s="43">
        <v>7.5079551528299998E-9</v>
      </c>
      <c r="AB87" s="43">
        <v>1.17047417073E-8</v>
      </c>
      <c r="AC87" t="s">
        <v>42</v>
      </c>
    </row>
    <row r="88" spans="1:29">
      <c r="A88" t="s">
        <v>212</v>
      </c>
      <c r="D88" s="61"/>
      <c r="F88" s="25">
        <v>3.96</v>
      </c>
      <c r="H88" s="25">
        <v>0.49</v>
      </c>
      <c r="I88" s="25">
        <v>0.65</v>
      </c>
      <c r="U88" s="87"/>
      <c r="V88" s="87"/>
    </row>
    <row r="89" spans="1:29">
      <c r="A89" s="7" t="s">
        <v>213</v>
      </c>
      <c r="B89">
        <v>1.1499999999999999</v>
      </c>
      <c r="D89" s="61">
        <v>1041.3900000000001</v>
      </c>
      <c r="F89" s="25">
        <v>15.83</v>
      </c>
      <c r="G89" s="11">
        <f>F89+J89</f>
        <v>57.018699999999995</v>
      </c>
      <c r="H89" s="25">
        <v>-508.71</v>
      </c>
      <c r="I89" s="25">
        <v>4000.92</v>
      </c>
      <c r="J89" s="40">
        <f>56.8745-15.6858</f>
        <v>41.188699999999997</v>
      </c>
      <c r="L89">
        <v>4000</v>
      </c>
      <c r="M89" s="46">
        <f>G89/10-0.26</f>
        <v>5.4418699999999998</v>
      </c>
      <c r="N89">
        <f>H89</f>
        <v>-508.71</v>
      </c>
      <c r="O89">
        <f>D89</f>
        <v>1041.3900000000001</v>
      </c>
      <c r="P89">
        <f>I89</f>
        <v>4000.92</v>
      </c>
      <c r="Q89">
        <f>F90/10</f>
        <v>0.26900000000000002</v>
      </c>
      <c r="R89">
        <f>H90</f>
        <v>0.42</v>
      </c>
      <c r="S89">
        <v>0</v>
      </c>
      <c r="T89">
        <f>I90</f>
        <v>1</v>
      </c>
      <c r="U89" s="47">
        <v>4.6021000000000001</v>
      </c>
      <c r="V89" s="47"/>
      <c r="W89" s="21" t="s">
        <v>214</v>
      </c>
      <c r="X89" s="21"/>
      <c r="Y89" s="43">
        <v>2.6770225048E-8</v>
      </c>
      <c r="Z89" s="43">
        <v>3.60671726976E-8</v>
      </c>
      <c r="AA89" s="43">
        <v>1.1396720362700001E-8</v>
      </c>
      <c r="AB89" s="43">
        <v>1.32951177579E-8</v>
      </c>
      <c r="AC89" t="s">
        <v>42</v>
      </c>
    </row>
    <row r="90" spans="1:29">
      <c r="A90" t="s">
        <v>215</v>
      </c>
      <c r="D90" s="61"/>
      <c r="F90" s="25">
        <v>2.69</v>
      </c>
      <c r="H90" s="25">
        <v>0.42</v>
      </c>
      <c r="I90" s="25">
        <v>1</v>
      </c>
      <c r="U90" s="87"/>
      <c r="V90" s="87"/>
    </row>
    <row r="91" spans="1:29">
      <c r="U91" s="87"/>
      <c r="V91" s="87"/>
    </row>
    <row r="92" spans="1:29">
      <c r="A92" s="46" t="s">
        <v>216</v>
      </c>
      <c r="D92" s="61"/>
      <c r="G92" s="30"/>
      <c r="U92" s="87"/>
      <c r="V92" s="87"/>
      <c r="Y92" s="83" t="s">
        <v>5</v>
      </c>
      <c r="Z92" s="83" t="s">
        <v>6</v>
      </c>
      <c r="AA92" s="83" t="s">
        <v>7</v>
      </c>
      <c r="AB92" s="83" t="s">
        <v>8</v>
      </c>
    </row>
    <row r="93" spans="1:29">
      <c r="A93" s="7" t="s">
        <v>217</v>
      </c>
      <c r="B93">
        <v>1.03</v>
      </c>
      <c r="C93" t="s">
        <v>218</v>
      </c>
      <c r="D93" s="14">
        <v>748.22</v>
      </c>
      <c r="F93" s="25">
        <v>211.35</v>
      </c>
      <c r="G93" s="11">
        <f>F93+J93</f>
        <v>268.005</v>
      </c>
      <c r="H93" s="25">
        <v>-520.16999999999996</v>
      </c>
      <c r="I93" s="25">
        <v>3000.26</v>
      </c>
      <c r="J93">
        <f>266.504-209.849</f>
        <v>56.65500000000003</v>
      </c>
      <c r="L93">
        <v>3000</v>
      </c>
      <c r="M93" s="46">
        <f>G93/10+F94/10</f>
        <v>27.589500000000001</v>
      </c>
      <c r="N93">
        <f>H93</f>
        <v>-520.16999999999996</v>
      </c>
      <c r="O93" s="55">
        <f>D93</f>
        <v>748.22</v>
      </c>
      <c r="P93">
        <f>I93</f>
        <v>3000.26</v>
      </c>
      <c r="Q93">
        <f>F94/10</f>
        <v>0.78899999999999992</v>
      </c>
      <c r="R93">
        <f>H94</f>
        <v>0.94</v>
      </c>
      <c r="S93">
        <v>0</v>
      </c>
      <c r="T93">
        <f>I94</f>
        <v>1.1499999999999999</v>
      </c>
      <c r="U93" s="87">
        <v>6.6</v>
      </c>
      <c r="V93" s="87"/>
      <c r="W93" s="21" t="s">
        <v>219</v>
      </c>
      <c r="X93" s="46"/>
      <c r="Y93" s="43">
        <v>3.57945016122E-9</v>
      </c>
      <c r="Z93" s="43">
        <v>1.43960756378E-9</v>
      </c>
      <c r="AA93" s="43">
        <v>1.7008621169E-9</v>
      </c>
      <c r="AB93" s="43">
        <v>2.16953629446E-9</v>
      </c>
    </row>
    <row r="94" spans="1:29">
      <c r="A94" t="s">
        <v>220</v>
      </c>
      <c r="D94" s="14"/>
      <c r="F94" s="25">
        <v>7.89</v>
      </c>
      <c r="H94" s="25">
        <v>0.94</v>
      </c>
      <c r="I94" s="25">
        <v>1.1499999999999999</v>
      </c>
      <c r="U94" s="87"/>
      <c r="V94" s="87"/>
    </row>
    <row r="95" spans="1:29">
      <c r="A95" s="35" t="s">
        <v>153</v>
      </c>
      <c r="B95">
        <v>1.2</v>
      </c>
      <c r="D95" s="14">
        <v>1183.21</v>
      </c>
      <c r="F95" s="25">
        <v>-36.54</v>
      </c>
      <c r="G95" s="11">
        <f>F95+J95</f>
        <v>-0.51630000000000109</v>
      </c>
      <c r="H95" s="25">
        <v>-526.54999999999995</v>
      </c>
      <c r="I95" s="25">
        <v>3000.2</v>
      </c>
      <c r="J95" s="35">
        <f>21.9938--14.0299</f>
        <v>36.023699999999998</v>
      </c>
      <c r="K95" t="s">
        <v>1</v>
      </c>
      <c r="L95">
        <v>3000</v>
      </c>
      <c r="M95">
        <f>G95/10</f>
        <v>-5.1630000000000106E-2</v>
      </c>
      <c r="N95">
        <f>H95</f>
        <v>-526.54999999999995</v>
      </c>
      <c r="O95">
        <f>D95</f>
        <v>1183.21</v>
      </c>
      <c r="P95">
        <f>I95</f>
        <v>3000.2</v>
      </c>
      <c r="Q95">
        <f>F96/10</f>
        <v>0.17899999999999999</v>
      </c>
      <c r="R95">
        <f>H96</f>
        <v>0.09</v>
      </c>
      <c r="S95">
        <v>0</v>
      </c>
      <c r="T95">
        <f>I96</f>
        <v>0.79</v>
      </c>
      <c r="U95" s="45">
        <v>3.9357500000000001</v>
      </c>
      <c r="V95" s="8"/>
      <c r="W95" s="40"/>
      <c r="X95" s="40"/>
      <c r="Y95" s="43">
        <v>1.3401835545E-8</v>
      </c>
      <c r="Z95" s="43">
        <v>7.5203577035600004E-9</v>
      </c>
      <c r="AA95" s="43">
        <v>1.85738892195E-9</v>
      </c>
      <c r="AB95" s="43">
        <v>2.8231253740300002E-9</v>
      </c>
      <c r="AC95" t="s">
        <v>42</v>
      </c>
    </row>
    <row r="96" spans="1:29">
      <c r="A96" t="s">
        <v>221</v>
      </c>
      <c r="D96" s="14"/>
      <c r="F96" s="25">
        <v>1.79</v>
      </c>
      <c r="H96" s="25">
        <v>0.09</v>
      </c>
      <c r="I96" s="25">
        <v>0.79</v>
      </c>
      <c r="L96" s="46">
        <v>3000</v>
      </c>
      <c r="M96" s="46">
        <v>0</v>
      </c>
      <c r="N96" s="46">
        <v>0</v>
      </c>
      <c r="O96" s="46">
        <v>1180.9496537</v>
      </c>
      <c r="P96" s="46">
        <v>3000</v>
      </c>
      <c r="Q96" s="46">
        <v>0</v>
      </c>
      <c r="R96" s="46">
        <v>0</v>
      </c>
      <c r="S96" s="46">
        <v>0</v>
      </c>
      <c r="T96" s="46">
        <v>0</v>
      </c>
      <c r="U96" s="87"/>
      <c r="V96" s="87"/>
      <c r="W96" t="s">
        <v>222</v>
      </c>
    </row>
    <row r="97" spans="1:29">
      <c r="A97" s="7" t="s">
        <v>223</v>
      </c>
      <c r="B97">
        <v>0.95</v>
      </c>
      <c r="D97" s="61">
        <v>587.07000000000005</v>
      </c>
      <c r="F97" s="25">
        <v>718.59</v>
      </c>
      <c r="G97" s="11">
        <f>F97+J97</f>
        <v>783.07500000000005</v>
      </c>
      <c r="H97" s="25">
        <v>-498.9</v>
      </c>
      <c r="I97" s="25">
        <v>3000.4</v>
      </c>
      <c r="J97" s="7">
        <f>804.743-740.258</f>
        <v>64.485000000000014</v>
      </c>
      <c r="K97" t="s">
        <v>224</v>
      </c>
      <c r="M97" s="46"/>
      <c r="U97" s="87" t="s">
        <v>225</v>
      </c>
      <c r="V97" s="87"/>
    </row>
    <row r="98" spans="1:29">
      <c r="A98" t="s">
        <v>226</v>
      </c>
      <c r="D98" s="14"/>
      <c r="F98" s="25">
        <v>1.56</v>
      </c>
      <c r="H98" s="25">
        <v>0.18</v>
      </c>
      <c r="I98" s="25">
        <v>1.83</v>
      </c>
      <c r="U98" s="87"/>
      <c r="V98" s="87"/>
    </row>
    <row r="99" spans="1:29">
      <c r="A99" s="7" t="s">
        <v>227</v>
      </c>
      <c r="B99" s="66">
        <v>1</v>
      </c>
      <c r="C99" s="66" t="s">
        <v>228</v>
      </c>
      <c r="D99" s="19">
        <v>684.73</v>
      </c>
      <c r="E99" s="66"/>
      <c r="F99" s="24">
        <v>347.83</v>
      </c>
      <c r="G99" s="11">
        <f>F99+J99</f>
        <v>407.08300000000003</v>
      </c>
      <c r="H99" s="24">
        <v>-515.72</v>
      </c>
      <c r="I99" s="24">
        <v>3000.01</v>
      </c>
      <c r="J99" s="7">
        <f>406.028-346.775</f>
        <v>59.253000000000043</v>
      </c>
      <c r="K99" t="s">
        <v>229</v>
      </c>
      <c r="L99">
        <v>3000</v>
      </c>
      <c r="M99" s="46">
        <f>G99/10+F100/10</f>
        <v>41.211300000000001</v>
      </c>
      <c r="N99">
        <f>H99</f>
        <v>-515.72</v>
      </c>
      <c r="O99">
        <f>D99</f>
        <v>684.73</v>
      </c>
      <c r="P99">
        <f>I99</f>
        <v>3000.01</v>
      </c>
      <c r="Q99">
        <f>F100/10</f>
        <v>0.503</v>
      </c>
      <c r="R99">
        <f>H100</f>
        <v>0.26</v>
      </c>
      <c r="S99">
        <v>0</v>
      </c>
      <c r="T99">
        <f>I100</f>
        <v>1.71</v>
      </c>
      <c r="U99" s="47">
        <v>7.3667299999999996</v>
      </c>
      <c r="V99" s="47"/>
      <c r="W99" s="21" t="s">
        <v>230</v>
      </c>
      <c r="X99" s="21"/>
      <c r="Y99" s="43">
        <v>7.3715423721299996E-10</v>
      </c>
      <c r="Z99" s="43">
        <v>9.557443973189999E-10</v>
      </c>
      <c r="AA99" s="43">
        <v>7.8683512471899996E-10</v>
      </c>
      <c r="AB99" s="43">
        <v>1.1024403988300001E-9</v>
      </c>
      <c r="AC99" t="s">
        <v>42</v>
      </c>
    </row>
    <row r="100" spans="1:29">
      <c r="A100" s="66" t="s">
        <v>231</v>
      </c>
      <c r="B100" s="66"/>
      <c r="C100" s="66"/>
      <c r="D100" s="66"/>
      <c r="E100" s="66"/>
      <c r="F100" s="24">
        <v>5.03</v>
      </c>
      <c r="G100" s="100"/>
      <c r="H100" s="24">
        <v>0.26</v>
      </c>
      <c r="I100" s="24">
        <v>1.71</v>
      </c>
      <c r="J100" s="66"/>
      <c r="U100" s="87"/>
      <c r="V100" s="87"/>
    </row>
    <row r="101" spans="1:29">
      <c r="A101" s="7" t="s">
        <v>58</v>
      </c>
      <c r="B101">
        <v>1.1000000000000001</v>
      </c>
      <c r="D101">
        <v>911.38</v>
      </c>
      <c r="F101" s="25">
        <v>57.06</v>
      </c>
      <c r="G101" s="11">
        <f>F101+J101</f>
        <v>104.81460000000001</v>
      </c>
      <c r="H101" s="25">
        <v>-528.77</v>
      </c>
      <c r="I101" s="25">
        <v>3000.75</v>
      </c>
      <c r="J101" s="40">
        <f>105.007-57.2524</f>
        <v>47.754600000000003</v>
      </c>
      <c r="K101" s="41" t="s">
        <v>232</v>
      </c>
      <c r="L101">
        <v>3000</v>
      </c>
      <c r="M101">
        <f>G101/10</f>
        <v>10.481460000000002</v>
      </c>
      <c r="N101">
        <f>H101</f>
        <v>-528.77</v>
      </c>
      <c r="O101">
        <f>D101</f>
        <v>911.38</v>
      </c>
      <c r="P101">
        <f>I101</f>
        <v>3000.75</v>
      </c>
      <c r="Q101">
        <f>F102/10</f>
        <v>0.41900000000000004</v>
      </c>
      <c r="R101">
        <f>H102</f>
        <v>0.24</v>
      </c>
      <c r="S101">
        <v>0</v>
      </c>
      <c r="T101">
        <f>I102</f>
        <v>0.76</v>
      </c>
      <c r="U101" s="47">
        <v>4.5449999999999999</v>
      </c>
      <c r="V101" s="47"/>
      <c r="W101" s="21" t="s">
        <v>233</v>
      </c>
      <c r="X101" s="21"/>
      <c r="Y101" s="43">
        <v>2.5800000000000002E-9</v>
      </c>
      <c r="Z101" s="43">
        <v>4.2700000000000004E-9</v>
      </c>
      <c r="AA101" s="43">
        <v>2.0500000000000002E-9</v>
      </c>
      <c r="AB101" s="43">
        <v>2.3899999999999998E-9</v>
      </c>
      <c r="AC101" t="s">
        <v>42</v>
      </c>
    </row>
    <row r="102" spans="1:29">
      <c r="A102" t="s">
        <v>234</v>
      </c>
      <c r="F102" s="25">
        <v>4.1900000000000004</v>
      </c>
      <c r="H102" s="25">
        <v>0.24</v>
      </c>
      <c r="I102" s="25">
        <v>0.76</v>
      </c>
      <c r="U102" s="87"/>
      <c r="V102" s="87"/>
    </row>
    <row r="103" spans="1:29">
      <c r="A103" s="7" t="s">
        <v>54</v>
      </c>
      <c r="D103">
        <v>605.80999999999995</v>
      </c>
      <c r="F103" s="25">
        <v>635.41999999999996</v>
      </c>
      <c r="G103" s="11">
        <f>F103+J103</f>
        <v>700.63099999999997</v>
      </c>
      <c r="H103" s="25">
        <v>-499.02</v>
      </c>
      <c r="I103" s="25">
        <v>3000.62</v>
      </c>
      <c r="J103" s="40">
        <f>704.562-639.351</f>
        <v>65.211000000000013</v>
      </c>
      <c r="K103" t="s">
        <v>169</v>
      </c>
      <c r="L103">
        <v>3000</v>
      </c>
      <c r="M103" s="46">
        <f>G103/10+F104/10</f>
        <v>70.437099999999987</v>
      </c>
      <c r="N103">
        <f>H103</f>
        <v>-499.02</v>
      </c>
      <c r="O103">
        <f>D103</f>
        <v>605.80999999999995</v>
      </c>
      <c r="P103">
        <f>I103</f>
        <v>3000.62</v>
      </c>
      <c r="Q103">
        <f>F104/10</f>
        <v>0.374</v>
      </c>
      <c r="R103">
        <f>H104</f>
        <v>0.27</v>
      </c>
      <c r="S103">
        <v>0</v>
      </c>
      <c r="T103">
        <f>I104</f>
        <v>1.6</v>
      </c>
      <c r="U103" s="47">
        <v>7.31</v>
      </c>
      <c r="V103" s="47"/>
      <c r="W103" s="21" t="s">
        <v>235</v>
      </c>
      <c r="X103" s="21"/>
      <c r="Y103" s="43">
        <v>6.4677768305399995E-10</v>
      </c>
      <c r="Z103" s="43">
        <v>8.1382383949600002E-10</v>
      </c>
      <c r="AA103" s="43">
        <v>3.0572923029800001E-10</v>
      </c>
      <c r="AB103" s="43">
        <v>5.3298622932899997E-10</v>
      </c>
      <c r="AC103" t="s">
        <v>236</v>
      </c>
    </row>
    <row r="104" spans="1:29">
      <c r="A104" t="s">
        <v>237</v>
      </c>
      <c r="F104" s="25">
        <v>3.74</v>
      </c>
      <c r="H104" s="25">
        <v>0.27</v>
      </c>
      <c r="I104" s="25">
        <v>1.6</v>
      </c>
      <c r="U104" s="87"/>
      <c r="V104" s="87"/>
    </row>
    <row r="105" spans="1:29">
      <c r="A105" s="7" t="s">
        <v>238</v>
      </c>
      <c r="B105">
        <v>1.1499999999999999</v>
      </c>
      <c r="D105">
        <v>1041.3900000000001</v>
      </c>
      <c r="F105" s="45">
        <v>0.43</v>
      </c>
      <c r="G105" s="11">
        <f>F105+J105</f>
        <v>40.969950000000004</v>
      </c>
      <c r="H105" s="45">
        <v>-529.32000000000005</v>
      </c>
      <c r="I105" s="25">
        <v>3000.11</v>
      </c>
      <c r="J105" s="40">
        <f>41.0643-0.52435</f>
        <v>40.539950000000005</v>
      </c>
      <c r="K105" s="41" t="s">
        <v>131</v>
      </c>
      <c r="L105">
        <v>3000</v>
      </c>
      <c r="M105">
        <f>G105/10</f>
        <v>4.0969950000000006</v>
      </c>
      <c r="N105">
        <f>H105</f>
        <v>-529.32000000000005</v>
      </c>
      <c r="O105">
        <f>D105</f>
        <v>1041.3900000000001</v>
      </c>
      <c r="P105">
        <f>I105</f>
        <v>3000.11</v>
      </c>
      <c r="Q105">
        <f>F106/10</f>
        <v>0.223</v>
      </c>
      <c r="R105">
        <f>H106</f>
        <v>0.33</v>
      </c>
      <c r="S105">
        <v>0</v>
      </c>
      <c r="T105">
        <f>I106</f>
        <v>1.71</v>
      </c>
      <c r="U105" s="47">
        <v>4.25</v>
      </c>
      <c r="V105" s="47"/>
      <c r="W105" s="21" t="s">
        <v>239</v>
      </c>
      <c r="X105" s="44"/>
      <c r="Y105" s="43">
        <v>6.2928495904900002E-9</v>
      </c>
      <c r="Z105" s="43">
        <v>1.4643776447300001E-8</v>
      </c>
      <c r="AA105" s="43">
        <v>4.6695217928000003E-9</v>
      </c>
      <c r="AB105" s="43">
        <v>5.2408171702999999E-9</v>
      </c>
      <c r="AC105" t="s">
        <v>236</v>
      </c>
    </row>
    <row r="106" spans="1:29">
      <c r="A106" t="s">
        <v>240</v>
      </c>
      <c r="F106" s="25">
        <v>2.23</v>
      </c>
      <c r="H106" s="25">
        <v>0.33</v>
      </c>
      <c r="I106" s="25">
        <v>1.71</v>
      </c>
      <c r="U106" s="87"/>
      <c r="V106" s="87"/>
    </row>
    <row r="107" spans="1:29">
      <c r="A107" s="7" t="s">
        <v>163</v>
      </c>
      <c r="B107">
        <v>1.06</v>
      </c>
      <c r="D107">
        <v>815.52</v>
      </c>
      <c r="F107" s="21">
        <v>123.45</v>
      </c>
      <c r="G107" s="11">
        <f>F107+J107</f>
        <v>176.78399999999999</v>
      </c>
      <c r="H107" s="21">
        <v>-526.48</v>
      </c>
      <c r="I107" s="25">
        <v>2987.91</v>
      </c>
      <c r="J107" s="40">
        <f>179.422-126.088</f>
        <v>53.334000000000003</v>
      </c>
      <c r="K107" s="41" t="s">
        <v>241</v>
      </c>
      <c r="L107">
        <v>3000</v>
      </c>
      <c r="M107" s="46">
        <f>G107/10+F108*2/10</f>
        <v>18.196400000000001</v>
      </c>
      <c r="N107">
        <f>H107</f>
        <v>-526.48</v>
      </c>
      <c r="O107">
        <f>D107</f>
        <v>815.52</v>
      </c>
      <c r="P107">
        <f>I107</f>
        <v>2987.91</v>
      </c>
      <c r="Q107">
        <f>F108/10</f>
        <v>0.25900000000000001</v>
      </c>
      <c r="R107">
        <f>H108</f>
        <v>0.28000000000000003</v>
      </c>
      <c r="S107">
        <v>0</v>
      </c>
      <c r="T107">
        <f>I108</f>
        <v>7.11</v>
      </c>
      <c r="U107" s="47">
        <v>6.3049999999999997</v>
      </c>
      <c r="V107" s="47"/>
      <c r="W107" s="21" t="s">
        <v>242</v>
      </c>
      <c r="X107" s="21"/>
      <c r="Y107" s="43">
        <v>2.15766280222E-9</v>
      </c>
      <c r="Z107" s="43">
        <v>2.7657955389600001E-10</v>
      </c>
      <c r="AA107" s="43">
        <v>1.1737055463800001E-9</v>
      </c>
      <c r="AB107" s="43">
        <v>3.20883235416E-9</v>
      </c>
    </row>
    <row r="108" spans="1:29">
      <c r="A108" t="s">
        <v>243</v>
      </c>
      <c r="F108" s="21">
        <v>2.59</v>
      </c>
      <c r="H108" s="25">
        <v>0.28000000000000003</v>
      </c>
      <c r="I108" s="25">
        <v>7.11</v>
      </c>
      <c r="U108" s="87"/>
      <c r="V108" s="87"/>
    </row>
    <row r="109" spans="1:29">
      <c r="A109" s="7" t="s">
        <v>244</v>
      </c>
      <c r="B109">
        <v>0.98499999999999999</v>
      </c>
      <c r="D109">
        <v>654.38</v>
      </c>
      <c r="F109" s="25">
        <v>416.71</v>
      </c>
      <c r="G109" s="11">
        <f>F109+J109</f>
        <v>481.88099999999997</v>
      </c>
      <c r="H109" s="25">
        <v>-511.35</v>
      </c>
      <c r="I109" s="25">
        <v>3000.6</v>
      </c>
      <c r="J109" s="40">
        <f>512.655-447.484</f>
        <v>65.170999999999992</v>
      </c>
      <c r="L109">
        <v>3000</v>
      </c>
      <c r="M109" s="46">
        <f>G109/10+7.77/10</f>
        <v>48.9651</v>
      </c>
      <c r="N109">
        <f>H109</f>
        <v>-511.35</v>
      </c>
      <c r="O109">
        <f>D109</f>
        <v>654.38</v>
      </c>
      <c r="P109">
        <f>I109</f>
        <v>3000.6</v>
      </c>
      <c r="Q109">
        <f>F110/10</f>
        <v>0.77699999999999991</v>
      </c>
      <c r="R109">
        <f>H110</f>
        <v>0.28000000000000003</v>
      </c>
      <c r="S109">
        <v>0</v>
      </c>
      <c r="T109">
        <f>I110</f>
        <v>0.27</v>
      </c>
      <c r="U109" s="47">
        <v>7.1557199999999996</v>
      </c>
      <c r="V109" s="47"/>
      <c r="W109" s="21" t="s">
        <v>245</v>
      </c>
      <c r="X109" s="21"/>
      <c r="Y109" s="43">
        <v>3.0108389743800002E-10</v>
      </c>
      <c r="Z109" s="43">
        <v>7.5072639092100006E-11</v>
      </c>
      <c r="AA109" s="43">
        <v>1.4404712485700001E-10</v>
      </c>
      <c r="AB109" s="43">
        <v>3.6051425859399999E-10</v>
      </c>
      <c r="AC109" t="s">
        <v>236</v>
      </c>
    </row>
    <row r="110" spans="1:29">
      <c r="A110" t="s">
        <v>246</v>
      </c>
      <c r="F110" s="25">
        <v>7.77</v>
      </c>
      <c r="H110" s="25">
        <v>0.28000000000000003</v>
      </c>
      <c r="I110" s="25">
        <v>0.27</v>
      </c>
      <c r="U110" s="87"/>
      <c r="V110" s="87"/>
    </row>
    <row r="111" spans="1:29">
      <c r="A111" s="35" t="s">
        <v>175</v>
      </c>
      <c r="B111">
        <v>1.125</v>
      </c>
      <c r="D111" s="21">
        <v>974.94</v>
      </c>
      <c r="F111" s="25">
        <v>27.68</v>
      </c>
      <c r="G111" s="11">
        <f>F111+J111</f>
        <v>70.775000000000006</v>
      </c>
      <c r="H111" s="25">
        <v>-529.98</v>
      </c>
      <c r="I111" s="25">
        <v>2998.83</v>
      </c>
      <c r="J111">
        <f>69.9698-26.8748</f>
        <v>43.095000000000006</v>
      </c>
      <c r="L111">
        <v>3000</v>
      </c>
      <c r="M111" s="46">
        <f>G111/10-F112/10</f>
        <v>6.7445000000000004</v>
      </c>
      <c r="N111">
        <f>H111</f>
        <v>-529.98</v>
      </c>
      <c r="O111">
        <f>D111</f>
        <v>974.94</v>
      </c>
      <c r="P111">
        <f>I111</f>
        <v>2998.83</v>
      </c>
      <c r="Q111">
        <f>F112/10</f>
        <v>0.33300000000000002</v>
      </c>
      <c r="R111">
        <f>H112</f>
        <v>0.9</v>
      </c>
      <c r="S111">
        <v>0</v>
      </c>
      <c r="T111">
        <f>I112</f>
        <v>1.81</v>
      </c>
      <c r="U111" s="45">
        <v>5.3334400000000004</v>
      </c>
      <c r="V111" s="87"/>
      <c r="W111" s="21" t="s">
        <v>247</v>
      </c>
    </row>
    <row r="112" spans="1:29">
      <c r="F112" s="25">
        <v>3.33</v>
      </c>
      <c r="H112" s="25">
        <v>0.9</v>
      </c>
      <c r="I112" s="25">
        <v>1.81</v>
      </c>
      <c r="U112" s="87"/>
      <c r="V112" s="87"/>
    </row>
    <row r="114" spans="1:23">
      <c r="A114" t="s">
        <v>248</v>
      </c>
    </row>
    <row r="115" spans="1:23">
      <c r="A115" t="s">
        <v>44</v>
      </c>
      <c r="B115">
        <v>1.03</v>
      </c>
      <c r="C115" t="s">
        <v>249</v>
      </c>
      <c r="D115" s="21">
        <v>748.22</v>
      </c>
      <c r="F115" s="25">
        <v>189.5</v>
      </c>
      <c r="G115" s="11">
        <f>F115+J115</f>
        <v>246.61399999999998</v>
      </c>
      <c r="H115" s="25">
        <v>-529.36</v>
      </c>
      <c r="I115" s="25">
        <v>2500.19</v>
      </c>
      <c r="J115">
        <f>222.003-164.889</f>
        <v>57.113999999999976</v>
      </c>
      <c r="L115">
        <v>2500</v>
      </c>
      <c r="M115">
        <f>G115/10</f>
        <v>24.661399999999997</v>
      </c>
      <c r="N115">
        <f>H115</f>
        <v>-529.36</v>
      </c>
      <c r="O115">
        <f>D115</f>
        <v>748.22</v>
      </c>
      <c r="P115">
        <f>I115</f>
        <v>2500.19</v>
      </c>
      <c r="Q115">
        <f>F116/10</f>
        <v>0.61</v>
      </c>
      <c r="R115">
        <f>H116</f>
        <v>0.26</v>
      </c>
      <c r="S115">
        <v>0</v>
      </c>
      <c r="T115">
        <f>I116</f>
        <v>0.17</v>
      </c>
      <c r="U115" s="45">
        <v>6.1069599999999999</v>
      </c>
      <c r="V115" s="87"/>
      <c r="W115" s="21" t="s">
        <v>250</v>
      </c>
    </row>
    <row r="116" spans="1:23">
      <c r="F116" s="25">
        <v>6.1</v>
      </c>
      <c r="H116" s="25">
        <v>0.26</v>
      </c>
      <c r="I116" s="25">
        <v>0.17</v>
      </c>
    </row>
    <row r="117" spans="1:23">
      <c r="A117" s="58" t="s">
        <v>46</v>
      </c>
      <c r="B117" s="58">
        <v>0.95</v>
      </c>
      <c r="C117" s="58" t="s">
        <v>251</v>
      </c>
      <c r="D117" s="21">
        <v>587.07000000000005</v>
      </c>
    </row>
    <row r="119" spans="1:23">
      <c r="A119" t="s">
        <v>50</v>
      </c>
      <c r="B119">
        <v>1</v>
      </c>
      <c r="D119" s="21">
        <v>684.73</v>
      </c>
      <c r="F119" s="25">
        <v>302.72000000000003</v>
      </c>
      <c r="G119" s="11">
        <f>F119+J119</f>
        <v>361.822</v>
      </c>
      <c r="H119" s="25">
        <v>-522.62</v>
      </c>
      <c r="I119" s="25">
        <v>2500.15</v>
      </c>
      <c r="J119">
        <f>362.248-303.146</f>
        <v>59.101999999999975</v>
      </c>
    </row>
    <row r="120" spans="1:23">
      <c r="F120" s="25">
        <v>3.81</v>
      </c>
      <c r="H120" s="25">
        <v>0.57999999999999996</v>
      </c>
      <c r="I120" s="25">
        <v>0.86</v>
      </c>
    </row>
    <row r="121" spans="1:23">
      <c r="A121" t="s">
        <v>52</v>
      </c>
      <c r="B121">
        <v>1.1000000000000001</v>
      </c>
      <c r="D121" s="21">
        <v>911.38</v>
      </c>
      <c r="F121" s="25">
        <v>39.19</v>
      </c>
      <c r="G121" s="11">
        <f>F121+J121</f>
        <v>86.618300000000005</v>
      </c>
      <c r="H121" s="25">
        <v>-537.27</v>
      </c>
      <c r="I121" s="25">
        <v>2500.41</v>
      </c>
      <c r="J121">
        <f>95.5843-48.156</f>
        <v>47.4283</v>
      </c>
      <c r="L121">
        <v>2500</v>
      </c>
      <c r="M121">
        <f>G121/10</f>
        <v>8.6618300000000001</v>
      </c>
      <c r="N121">
        <f>H121</f>
        <v>-537.27</v>
      </c>
      <c r="O121">
        <f>D121</f>
        <v>911.38</v>
      </c>
      <c r="P121">
        <f>I121</f>
        <v>2500.41</v>
      </c>
      <c r="Q121">
        <f>F122/10</f>
        <v>0.30599999999999999</v>
      </c>
      <c r="R121">
        <f>H122</f>
        <v>0.54</v>
      </c>
      <c r="S121">
        <v>0</v>
      </c>
      <c r="T121">
        <f>I122</f>
        <v>0.68</v>
      </c>
      <c r="U121" s="45">
        <v>4.9572000000000003</v>
      </c>
      <c r="V121" s="87"/>
      <c r="W121" s="21" t="s">
        <v>252</v>
      </c>
    </row>
    <row r="122" spans="1:23">
      <c r="F122" s="25">
        <v>3.06</v>
      </c>
      <c r="H122" s="25">
        <v>0.54</v>
      </c>
      <c r="I122" s="25">
        <v>0.68</v>
      </c>
    </row>
    <row r="123" spans="1:23">
      <c r="A123" t="s">
        <v>253</v>
      </c>
      <c r="B123">
        <v>1.1499999999999999</v>
      </c>
      <c r="C123" t="s">
        <v>249</v>
      </c>
      <c r="D123" s="21">
        <v>1041.3900000000001</v>
      </c>
      <c r="F123" s="25">
        <v>-13.63</v>
      </c>
      <c r="G123" s="11">
        <f>F123+J123</f>
        <v>27.054499999999997</v>
      </c>
      <c r="H123" s="25">
        <v>-537.48</v>
      </c>
      <c r="I123" s="25">
        <v>2499.21</v>
      </c>
      <c r="J123">
        <f>26.3712--14.3133</f>
        <v>40.6845</v>
      </c>
      <c r="L123">
        <v>2500</v>
      </c>
      <c r="M123">
        <f>G123/10</f>
        <v>2.7054499999999999</v>
      </c>
      <c r="N123">
        <f>H123</f>
        <v>-537.48</v>
      </c>
      <c r="O123">
        <f>D123</f>
        <v>1041.3900000000001</v>
      </c>
      <c r="P123">
        <f>I123</f>
        <v>2499.21</v>
      </c>
      <c r="Q123">
        <f>F124/10</f>
        <v>0.16200000000000001</v>
      </c>
      <c r="R123">
        <f>H124</f>
        <v>0.52</v>
      </c>
      <c r="S123">
        <v>0</v>
      </c>
      <c r="T123">
        <f>I124</f>
        <v>0.97</v>
      </c>
      <c r="U123" s="45">
        <v>4.8839199999999998</v>
      </c>
      <c r="V123" s="87"/>
      <c r="W123" s="45" t="s">
        <v>254</v>
      </c>
    </row>
    <row r="124" spans="1:23">
      <c r="F124" s="25">
        <v>1.62</v>
      </c>
      <c r="H124" s="25">
        <v>0.52</v>
      </c>
      <c r="I124" s="25">
        <v>0.97</v>
      </c>
    </row>
    <row r="125" spans="1:23">
      <c r="A125" t="s">
        <v>255</v>
      </c>
      <c r="B125">
        <v>1.06</v>
      </c>
      <c r="D125" s="21">
        <v>815.52</v>
      </c>
      <c r="F125" s="25">
        <v>111.92</v>
      </c>
      <c r="G125" s="11">
        <f>F125+J125</f>
        <v>163.54859999999999</v>
      </c>
      <c r="H125" s="25">
        <v>-534.23</v>
      </c>
      <c r="I125" s="25">
        <v>2500.14</v>
      </c>
      <c r="J125">
        <f>131.558-79.9294</f>
        <v>51.628599999999992</v>
      </c>
      <c r="L125">
        <v>2500</v>
      </c>
      <c r="M125">
        <f>G125/10</f>
        <v>16.354859999999999</v>
      </c>
      <c r="N125">
        <f>H125</f>
        <v>-534.23</v>
      </c>
      <c r="O125">
        <f>D125</f>
        <v>815.52</v>
      </c>
      <c r="P125">
        <f>I125</f>
        <v>2500.14</v>
      </c>
      <c r="Q125">
        <f>F126/10</f>
        <v>0.56600000000000006</v>
      </c>
      <c r="R125">
        <f>H126</f>
        <v>0.35</v>
      </c>
      <c r="S125">
        <v>0</v>
      </c>
      <c r="T125">
        <f>I126</f>
        <v>1.54</v>
      </c>
      <c r="U125" s="45">
        <v>5.7508600000000003</v>
      </c>
      <c r="V125" s="87"/>
      <c r="W125" s="45" t="s">
        <v>256</v>
      </c>
    </row>
    <row r="126" spans="1:23">
      <c r="F126" s="25">
        <v>5.66</v>
      </c>
      <c r="H126" s="25">
        <v>0.35</v>
      </c>
      <c r="I126" s="25">
        <v>1.54</v>
      </c>
    </row>
    <row r="127" spans="1:23">
      <c r="A127" t="s">
        <v>257</v>
      </c>
      <c r="B127" s="83">
        <v>0.98499999999999999</v>
      </c>
      <c r="C127" t="s">
        <v>258</v>
      </c>
      <c r="D127" s="21">
        <v>654.38</v>
      </c>
      <c r="F127" s="25">
        <v>400.73</v>
      </c>
      <c r="G127" s="11">
        <f>F127+J127</f>
        <v>465.87300000000005</v>
      </c>
      <c r="H127" s="25">
        <v>-518.38</v>
      </c>
      <c r="I127" s="25">
        <v>2500.7800000000002</v>
      </c>
      <c r="J127">
        <f>476.232-411.089</f>
        <v>65.143000000000029</v>
      </c>
    </row>
    <row r="128" spans="1:23">
      <c r="F128" s="25">
        <v>2.0299999999999998</v>
      </c>
      <c r="H128" s="25">
        <v>0.27</v>
      </c>
      <c r="I128" s="25">
        <v>0.55000000000000004</v>
      </c>
    </row>
    <row r="129" spans="1:23">
      <c r="A129" t="s">
        <v>48</v>
      </c>
      <c r="B129">
        <v>1.19</v>
      </c>
      <c r="D129" s="21">
        <v>1153.8800000000001</v>
      </c>
      <c r="F129" s="25">
        <v>-39.51</v>
      </c>
      <c r="G129" s="11">
        <f>F129+J129</f>
        <v>-0.37514999999999787</v>
      </c>
      <c r="H129" s="25">
        <v>-536.25</v>
      </c>
      <c r="I129" s="25">
        <v>2499.98</v>
      </c>
      <c r="J129">
        <f>-3.44195--42.5768</f>
        <v>39.13485</v>
      </c>
      <c r="L129">
        <v>2500</v>
      </c>
      <c r="M129">
        <f>G129/10</f>
        <v>-3.7514999999999785E-2</v>
      </c>
      <c r="N129">
        <f>H129</f>
        <v>-536.25</v>
      </c>
      <c r="O129">
        <f>D129</f>
        <v>1153.8800000000001</v>
      </c>
      <c r="P129">
        <f>I129</f>
        <v>2499.98</v>
      </c>
      <c r="Q129">
        <f>F130/10</f>
        <v>9.7000000000000003E-2</v>
      </c>
      <c r="R129">
        <f>H130</f>
        <v>0.65</v>
      </c>
      <c r="S129">
        <v>0</v>
      </c>
      <c r="T129">
        <f>I130</f>
        <v>1</v>
      </c>
      <c r="U129" s="45">
        <v>4.5442799999999997</v>
      </c>
      <c r="V129" s="87"/>
      <c r="W129" s="45" t="s">
        <v>259</v>
      </c>
    </row>
    <row r="130" spans="1:23">
      <c r="F130" s="25">
        <v>0.97</v>
      </c>
      <c r="H130" s="25">
        <v>0.65</v>
      </c>
      <c r="I130" s="25">
        <v>1</v>
      </c>
    </row>
    <row r="132" spans="1:23">
      <c r="A132" t="s">
        <v>260</v>
      </c>
    </row>
    <row r="133" spans="1:23">
      <c r="A133" t="s">
        <v>178</v>
      </c>
      <c r="D133">
        <v>987.99</v>
      </c>
      <c r="F133" s="25">
        <v>-5.47</v>
      </c>
      <c r="G133" s="11">
        <f>F133+J133</f>
        <v>41.905050000000003</v>
      </c>
      <c r="H133" s="25">
        <v>-547.58000000000004</v>
      </c>
      <c r="I133" s="25">
        <v>1999.58</v>
      </c>
      <c r="J133">
        <f>54.8678-7.49275</f>
        <v>47.375050000000002</v>
      </c>
      <c r="L133">
        <v>2000</v>
      </c>
      <c r="M133">
        <f>G133/10</f>
        <v>4.1905049999999999</v>
      </c>
      <c r="N133">
        <f>H133</f>
        <v>-547.58000000000004</v>
      </c>
      <c r="O133">
        <f>D133</f>
        <v>987.99</v>
      </c>
      <c r="P133">
        <f>I133</f>
        <v>1999.58</v>
      </c>
      <c r="Q133">
        <f>F134/10</f>
        <v>0.375</v>
      </c>
      <c r="R133">
        <f>H134</f>
        <v>0.38</v>
      </c>
      <c r="S133">
        <v>0</v>
      </c>
      <c r="T133">
        <f>I134</f>
        <v>0.48</v>
      </c>
      <c r="U133" s="45">
        <v>5.4711400000000001</v>
      </c>
      <c r="V133" s="87"/>
      <c r="W133" s="21" t="s">
        <v>261</v>
      </c>
    </row>
    <row r="134" spans="1:23">
      <c r="F134" s="25">
        <v>3.75</v>
      </c>
      <c r="H134" s="25">
        <v>0.38</v>
      </c>
      <c r="I134" s="25">
        <v>0.48</v>
      </c>
    </row>
    <row r="135" spans="1:23">
      <c r="A135" t="s">
        <v>180</v>
      </c>
      <c r="D135">
        <f>886.74</f>
        <v>886.74</v>
      </c>
      <c r="F135" s="25">
        <v>42.61</v>
      </c>
      <c r="G135" s="11">
        <f>F135+J135</f>
        <v>92.334500000000006</v>
      </c>
      <c r="H135" s="25">
        <v>-543.22</v>
      </c>
      <c r="I135" s="25">
        <v>2000.02</v>
      </c>
      <c r="J135">
        <f>85.2951-35.5706</f>
        <v>49.724500000000006</v>
      </c>
      <c r="L135">
        <v>2000</v>
      </c>
      <c r="M135">
        <f>G135/10</f>
        <v>9.2334500000000013</v>
      </c>
      <c r="N135">
        <f>H135</f>
        <v>-543.22</v>
      </c>
      <c r="O135">
        <f>D135</f>
        <v>886.74</v>
      </c>
      <c r="P135">
        <f>I135</f>
        <v>2000.02</v>
      </c>
      <c r="Q135">
        <f>F136/10</f>
        <v>0.44500000000000001</v>
      </c>
      <c r="R135">
        <f>H136</f>
        <v>0.09</v>
      </c>
      <c r="S135">
        <v>0</v>
      </c>
      <c r="T135">
        <f>I136</f>
        <v>0.31</v>
      </c>
      <c r="U135" s="45">
        <v>4.5879200000000004</v>
      </c>
      <c r="V135" s="87"/>
      <c r="W135" s="21" t="s">
        <v>262</v>
      </c>
    </row>
    <row r="136" spans="1:23">
      <c r="F136" s="25">
        <v>4.45</v>
      </c>
      <c r="H136" s="25">
        <v>0.09</v>
      </c>
      <c r="I136" s="25">
        <v>0.31</v>
      </c>
    </row>
    <row r="137" spans="1:23">
      <c r="A137" t="s">
        <v>182</v>
      </c>
      <c r="D137" s="21">
        <v>792.66</v>
      </c>
      <c r="F137" s="25">
        <v>105.3</v>
      </c>
      <c r="G137" s="11">
        <f>F137+J137</f>
        <v>163.24610000000001</v>
      </c>
      <c r="H137" s="25">
        <v>-543.64</v>
      </c>
      <c r="I137" s="25">
        <v>2000.58</v>
      </c>
      <c r="J137">
        <f>154.633-96.6869</f>
        <v>57.946100000000015</v>
      </c>
      <c r="L137">
        <v>2000</v>
      </c>
      <c r="M137">
        <f>G137/10</f>
        <v>16.32461</v>
      </c>
      <c r="N137">
        <f>H137</f>
        <v>-543.64</v>
      </c>
      <c r="O137">
        <f>D137</f>
        <v>792.66</v>
      </c>
      <c r="P137">
        <f>I137</f>
        <v>2000.58</v>
      </c>
      <c r="Q137">
        <f>F138/10</f>
        <v>0.50900000000000001</v>
      </c>
      <c r="R137">
        <f>H138</f>
        <v>0.14000000000000001</v>
      </c>
      <c r="S137">
        <v>0</v>
      </c>
      <c r="T137">
        <f>I138</f>
        <v>1.45</v>
      </c>
      <c r="U137" s="45">
        <v>7.0306800000000003</v>
      </c>
      <c r="V137" s="87"/>
      <c r="W137" s="21" t="s">
        <v>263</v>
      </c>
    </row>
    <row r="138" spans="1:23">
      <c r="F138" s="25">
        <v>5.09</v>
      </c>
      <c r="H138" s="25">
        <v>0.14000000000000001</v>
      </c>
      <c r="I138" s="25">
        <v>1.45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A1:S133"/>
  <sheetViews>
    <sheetView topLeftCell="A52" workbookViewId="0">
      <selection activeCell="D74" sqref="D74"/>
    </sheetView>
  </sheetViews>
  <sheetFormatPr baseColWidth="10" defaultRowHeight="16"/>
  <cols>
    <col min="1" max="1" width="15.83203125" style="89" customWidth="1"/>
    <col min="4" max="4" width="16.83203125" style="89" customWidth="1"/>
    <col min="10" max="10" width="12.1640625" style="89" bestFit="1" customWidth="1"/>
  </cols>
  <sheetData>
    <row r="1" spans="1:13"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</row>
    <row r="2" spans="1:13">
      <c r="A2" t="s">
        <v>276</v>
      </c>
      <c r="B2">
        <v>1180</v>
      </c>
      <c r="C2">
        <v>0</v>
      </c>
      <c r="D2">
        <v>21.1</v>
      </c>
      <c r="E2">
        <v>4.29</v>
      </c>
      <c r="F2">
        <v>-0.13</v>
      </c>
      <c r="G2">
        <v>3000</v>
      </c>
      <c r="H2">
        <v>29.9</v>
      </c>
      <c r="I2">
        <v>56.5</v>
      </c>
      <c r="J2">
        <v>28.1</v>
      </c>
      <c r="K2" t="s">
        <v>277</v>
      </c>
      <c r="L2" t="s">
        <v>277</v>
      </c>
      <c r="M2" t="s">
        <v>278</v>
      </c>
    </row>
    <row r="3" spans="1:13">
      <c r="A3" t="s">
        <v>279</v>
      </c>
      <c r="M3" t="s">
        <v>280</v>
      </c>
    </row>
    <row r="4" spans="1:13">
      <c r="A4" t="s">
        <v>281</v>
      </c>
      <c r="B4">
        <v>1183.21</v>
      </c>
      <c r="C4">
        <v>0.46762999999999999</v>
      </c>
      <c r="D4">
        <v>27.820571399999999</v>
      </c>
      <c r="E4">
        <v>2.4651906600000002</v>
      </c>
      <c r="F4">
        <v>3.7672450000000003E-2</v>
      </c>
      <c r="G4">
        <v>3000</v>
      </c>
      <c r="H4">
        <v>30.217326700000001</v>
      </c>
      <c r="I4">
        <v>60.089642599999998</v>
      </c>
      <c r="J4">
        <v>31.3728403</v>
      </c>
      <c r="K4" t="s">
        <v>277</v>
      </c>
      <c r="L4" t="s">
        <v>282</v>
      </c>
      <c r="M4" t="s">
        <v>280</v>
      </c>
    </row>
    <row r="5" spans="1:13">
      <c r="A5" t="s">
        <v>283</v>
      </c>
      <c r="B5">
        <v>2649.96</v>
      </c>
      <c r="C5">
        <v>-0.72330000000000005</v>
      </c>
      <c r="D5">
        <v>8.9836810000000007</v>
      </c>
      <c r="E5">
        <v>5.3912899999999997</v>
      </c>
      <c r="F5">
        <v>-0.69243650000000001</v>
      </c>
      <c r="G5">
        <v>3000</v>
      </c>
      <c r="H5">
        <v>31.992439000000001</v>
      </c>
      <c r="I5">
        <v>59.530003999999998</v>
      </c>
      <c r="J5">
        <v>29.171316900000001</v>
      </c>
      <c r="K5">
        <v>0.7</v>
      </c>
      <c r="L5" t="s">
        <v>284</v>
      </c>
      <c r="M5" t="s">
        <v>280</v>
      </c>
    </row>
    <row r="6" spans="1:13">
      <c r="A6" t="s">
        <v>285</v>
      </c>
      <c r="B6">
        <v>30</v>
      </c>
      <c r="C6">
        <v>0</v>
      </c>
      <c r="D6">
        <v>16.600000000000001</v>
      </c>
      <c r="E6">
        <v>6.14</v>
      </c>
      <c r="F6">
        <v>0</v>
      </c>
      <c r="G6">
        <v>3000</v>
      </c>
      <c r="H6">
        <v>0</v>
      </c>
      <c r="I6">
        <v>0</v>
      </c>
      <c r="J6">
        <v>0</v>
      </c>
      <c r="M6" t="s">
        <v>286</v>
      </c>
    </row>
    <row r="7" spans="1:13">
      <c r="A7" s="37"/>
      <c r="B7" s="68" t="s">
        <v>264</v>
      </c>
      <c r="C7" s="68" t="s">
        <v>265</v>
      </c>
      <c r="D7" s="68" t="s">
        <v>266</v>
      </c>
      <c r="E7" s="68" t="s">
        <v>267</v>
      </c>
      <c r="F7" s="68" t="s">
        <v>268</v>
      </c>
      <c r="G7" s="68" t="s">
        <v>269</v>
      </c>
      <c r="H7" s="68" t="s">
        <v>287</v>
      </c>
    </row>
    <row r="8" spans="1:13">
      <c r="A8" s="68" t="s">
        <v>288</v>
      </c>
      <c r="B8">
        <v>960</v>
      </c>
      <c r="C8">
        <v>0</v>
      </c>
      <c r="D8">
        <v>20.553273681805191</v>
      </c>
      <c r="E8">
        <v>7.9561501981767488</v>
      </c>
      <c r="F8">
        <v>-1.3613061969479401</v>
      </c>
      <c r="G8">
        <v>3000</v>
      </c>
      <c r="H8">
        <v>3.470607202781311E-2</v>
      </c>
      <c r="I8">
        <f>B8/32</f>
        <v>30</v>
      </c>
    </row>
    <row r="9" spans="1:13">
      <c r="A9" s="68" t="s">
        <v>289</v>
      </c>
      <c r="B9">
        <v>1439</v>
      </c>
      <c r="C9">
        <v>0</v>
      </c>
      <c r="D9">
        <v>6.9258488697652902</v>
      </c>
      <c r="E9">
        <v>6.7234473006098314</v>
      </c>
      <c r="F9">
        <v>-1.599999935113628</v>
      </c>
      <c r="G9">
        <v>3000</v>
      </c>
      <c r="H9">
        <v>0.12378609501352671</v>
      </c>
      <c r="I9">
        <f>(B9-B8)/32</f>
        <v>14.96875</v>
      </c>
    </row>
    <row r="10" spans="1:13">
      <c r="A10" s="37"/>
      <c r="B10" s="63" t="s">
        <v>264</v>
      </c>
      <c r="C10" s="63" t="s">
        <v>265</v>
      </c>
      <c r="D10" s="63" t="s">
        <v>266</v>
      </c>
      <c r="E10" s="63" t="s">
        <v>267</v>
      </c>
      <c r="F10" s="63" t="s">
        <v>268</v>
      </c>
      <c r="G10" s="63" t="s">
        <v>269</v>
      </c>
      <c r="H10" s="63" t="s">
        <v>287</v>
      </c>
    </row>
    <row r="11" spans="1:13">
      <c r="A11" s="63" t="s">
        <v>290</v>
      </c>
      <c r="B11" s="37">
        <v>1079.27340553</v>
      </c>
      <c r="C11" s="37">
        <v>0</v>
      </c>
      <c r="D11" s="37">
        <v>14.532247500062271</v>
      </c>
      <c r="E11" s="37">
        <v>6.8362913175119493</v>
      </c>
      <c r="F11" s="37">
        <v>-1.09257917350548</v>
      </c>
      <c r="G11" s="37">
        <v>4000</v>
      </c>
      <c r="H11">
        <v>6.7879682636171515E-2</v>
      </c>
      <c r="I11">
        <f>B11/32</f>
        <v>33.7272939228125</v>
      </c>
      <c r="J11">
        <f>I11*1E-30*1000000*6.022E+23</f>
        <v>20.310576400317689</v>
      </c>
    </row>
    <row r="12" spans="1:13">
      <c r="A12" s="63" t="s">
        <v>291</v>
      </c>
      <c r="B12" s="37">
        <v>1670.87931721</v>
      </c>
      <c r="C12" s="37">
        <v>0</v>
      </c>
      <c r="D12" s="37">
        <v>1.149215998680041</v>
      </c>
      <c r="E12" s="37">
        <v>24.60970455326207</v>
      </c>
      <c r="F12" s="37">
        <v>-397.67800320081687</v>
      </c>
      <c r="G12" s="37">
        <v>4000</v>
      </c>
      <c r="H12">
        <v>0.1214511074180273</v>
      </c>
      <c r="I12">
        <f>(B12-B11)/32</f>
        <v>18.487684739999999</v>
      </c>
      <c r="J12">
        <f>I12*0.6</f>
        <v>11.092610843999999</v>
      </c>
    </row>
    <row r="13" spans="1:13">
      <c r="A13" s="37"/>
      <c r="B13" s="38" t="s">
        <v>264</v>
      </c>
      <c r="C13" s="38" t="s">
        <v>265</v>
      </c>
      <c r="D13" s="38" t="s">
        <v>266</v>
      </c>
      <c r="E13" s="38" t="s">
        <v>267</v>
      </c>
      <c r="F13" s="38" t="s">
        <v>268</v>
      </c>
      <c r="G13" s="38" t="s">
        <v>269</v>
      </c>
    </row>
    <row r="14" spans="1:13">
      <c r="A14" s="38" t="s">
        <v>292</v>
      </c>
      <c r="B14" s="37">
        <v>1328</v>
      </c>
      <c r="C14" s="37">
        <v>0</v>
      </c>
      <c r="D14" s="37">
        <v>12.87418910219392</v>
      </c>
      <c r="E14" s="37">
        <v>5.0132313656971554</v>
      </c>
      <c r="F14" s="37">
        <v>-0.40592726682799352</v>
      </c>
      <c r="G14" s="37">
        <v>4000</v>
      </c>
    </row>
    <row r="15" spans="1:13">
      <c r="A15" s="38" t="s">
        <v>293</v>
      </c>
      <c r="B15" s="37">
        <v>1385</v>
      </c>
      <c r="C15" s="37">
        <v>0</v>
      </c>
      <c r="D15" s="37">
        <v>9.2005547552365314</v>
      </c>
      <c r="E15" s="37">
        <v>6.5702643096639308</v>
      </c>
      <c r="F15" s="37">
        <v>-1.5235246967533891</v>
      </c>
      <c r="G15" s="37">
        <v>4000</v>
      </c>
      <c r="I15">
        <f>(B18+B30/2)/2</f>
        <v>1222.1945915400001</v>
      </c>
    </row>
    <row r="16" spans="1:13">
      <c r="B16" s="31" t="s">
        <v>264</v>
      </c>
      <c r="C16" s="31" t="s">
        <v>265</v>
      </c>
      <c r="D16" s="31" t="s">
        <v>266</v>
      </c>
      <c r="E16" s="31" t="s">
        <v>267</v>
      </c>
      <c r="F16" s="31" t="s">
        <v>268</v>
      </c>
      <c r="G16" s="31" t="s">
        <v>269</v>
      </c>
      <c r="I16">
        <f>(B17+B29/2)/2</f>
        <v>1187.4246508700001</v>
      </c>
      <c r="J16">
        <f>I15-I16</f>
        <v>34.769940670000096</v>
      </c>
      <c r="K16">
        <f>J16/2</f>
        <v>17.384970335000048</v>
      </c>
    </row>
    <row r="17" spans="1:19">
      <c r="A17" s="32" t="s">
        <v>294</v>
      </c>
      <c r="B17">
        <v>1192.3493017400001</v>
      </c>
      <c r="C17">
        <v>0</v>
      </c>
      <c r="D17">
        <v>23.904024557675299</v>
      </c>
      <c r="E17">
        <v>3.2637079937073281</v>
      </c>
      <c r="F17">
        <v>-1.0792445478263631E-3</v>
      </c>
      <c r="G17">
        <v>3000</v>
      </c>
      <c r="I17" t="s">
        <v>295</v>
      </c>
      <c r="K17" t="s">
        <v>296</v>
      </c>
      <c r="O17">
        <f>(B18-B17)/4</f>
        <v>15.884970334999991</v>
      </c>
      <c r="P17" t="s">
        <v>297</v>
      </c>
    </row>
    <row r="18" spans="1:19">
      <c r="A18" s="32" t="s">
        <v>298</v>
      </c>
      <c r="B18" s="33">
        <v>1255.8891830800001</v>
      </c>
      <c r="C18" s="33">
        <v>0</v>
      </c>
      <c r="D18">
        <v>15.760300000000001</v>
      </c>
      <c r="E18">
        <v>4.3851164300000001</v>
      </c>
      <c r="F18">
        <v>-0.1038446</v>
      </c>
      <c r="G18">
        <v>3000</v>
      </c>
      <c r="I18" t="s">
        <v>299</v>
      </c>
      <c r="J18">
        <f>(B17-B29/2)/(25-6.25)</f>
        <v>0.52529609280000533</v>
      </c>
      <c r="K18">
        <v>25</v>
      </c>
      <c r="L18">
        <v>6.25</v>
      </c>
      <c r="M18">
        <v>12.5</v>
      </c>
      <c r="P18" s="65">
        <v>16.335805077480359</v>
      </c>
      <c r="Q18" s="33">
        <v>4.1732839919955804</v>
      </c>
      <c r="R18" s="33">
        <v>-6.4861748919645981E-2</v>
      </c>
      <c r="S18" s="65">
        <v>3000</v>
      </c>
    </row>
    <row r="19" spans="1:19">
      <c r="A19" s="36"/>
      <c r="B19" s="56" t="s">
        <v>264</v>
      </c>
      <c r="C19" s="56" t="s">
        <v>265</v>
      </c>
      <c r="D19" s="56" t="s">
        <v>266</v>
      </c>
      <c r="E19" s="56" t="s">
        <v>267</v>
      </c>
      <c r="F19" s="56" t="s">
        <v>268</v>
      </c>
      <c r="G19" s="56" t="s">
        <v>269</v>
      </c>
      <c r="I19" s="34" t="s">
        <v>300</v>
      </c>
      <c r="J19">
        <f>B17-25*J18</f>
        <v>1179.2168994199999</v>
      </c>
      <c r="K19">
        <f>K18*J18+J19</f>
        <v>1192.3493017400001</v>
      </c>
      <c r="L19">
        <f>(L18*J18+J19)*2</f>
        <v>2365</v>
      </c>
      <c r="M19">
        <f>M18*J18+J19</f>
        <v>1185.7831005799999</v>
      </c>
    </row>
    <row r="20" spans="1:19">
      <c r="A20" s="57" t="s">
        <v>301</v>
      </c>
      <c r="B20" s="46">
        <v>1323</v>
      </c>
      <c r="C20" s="46">
        <v>0</v>
      </c>
      <c r="D20" s="46">
        <v>14.05105152492871</v>
      </c>
      <c r="E20" s="46">
        <v>4.6861747928041124</v>
      </c>
      <c r="F20" s="46">
        <v>-0.29877662734671118</v>
      </c>
      <c r="G20" s="46">
        <v>4000</v>
      </c>
      <c r="H20" t="s">
        <v>302</v>
      </c>
      <c r="I20" t="s">
        <v>295</v>
      </c>
      <c r="K20" t="s">
        <v>303</v>
      </c>
      <c r="O20">
        <f>B21-B20</f>
        <v>27</v>
      </c>
    </row>
    <row r="21" spans="1:19">
      <c r="A21" s="57" t="s">
        <v>304</v>
      </c>
      <c r="B21" s="46">
        <v>1350</v>
      </c>
      <c r="C21" s="46">
        <v>0</v>
      </c>
      <c r="D21" s="46">
        <v>12.77413888773494</v>
      </c>
      <c r="E21" s="46">
        <v>4.7358724910085428</v>
      </c>
      <c r="F21" s="46">
        <v>-0.31128635027379969</v>
      </c>
      <c r="G21" s="46">
        <v>4000</v>
      </c>
      <c r="H21" t="s">
        <v>305</v>
      </c>
      <c r="I21" t="s">
        <v>299</v>
      </c>
      <c r="J21">
        <f>(B18-B30/2)/(25-6.25)</f>
        <v>3.5940897642666703</v>
      </c>
      <c r="K21">
        <v>25</v>
      </c>
      <c r="L21">
        <v>6.25</v>
      </c>
      <c r="M21">
        <v>12.5</v>
      </c>
    </row>
    <row r="22" spans="1:19">
      <c r="B22" s="60" t="s">
        <v>264</v>
      </c>
      <c r="C22" s="60" t="s">
        <v>265</v>
      </c>
      <c r="D22" s="60" t="s">
        <v>266</v>
      </c>
      <c r="E22" s="60" t="s">
        <v>267</v>
      </c>
      <c r="F22" s="60" t="s">
        <v>268</v>
      </c>
      <c r="G22" s="60" t="s">
        <v>269</v>
      </c>
      <c r="I22" s="34" t="s">
        <v>300</v>
      </c>
      <c r="J22">
        <f>B18-25*J21</f>
        <v>1166.0369389733332</v>
      </c>
      <c r="K22">
        <f>K21*J21+J22</f>
        <v>1255.8891830800001</v>
      </c>
      <c r="L22">
        <f>(L21*J21+J22)*2</f>
        <v>2377</v>
      </c>
      <c r="M22">
        <f>M21*J21+J22</f>
        <v>1210.9630610266665</v>
      </c>
      <c r="N22">
        <f>M22-M19</f>
        <v>25.179960446666655</v>
      </c>
    </row>
    <row r="23" spans="1:19">
      <c r="A23" s="60" t="s">
        <v>306</v>
      </c>
      <c r="B23" s="87">
        <v>1180.9496537</v>
      </c>
      <c r="C23" s="87">
        <v>0</v>
      </c>
      <c r="D23" s="87">
        <v>26.931363433644279</v>
      </c>
      <c r="E23" s="87">
        <v>2.7926545071393298</v>
      </c>
      <c r="F23" s="87">
        <v>1.2600267296586009E-2</v>
      </c>
      <c r="G23" s="87">
        <v>3000</v>
      </c>
      <c r="H23">
        <v>0.17</v>
      </c>
      <c r="K23" t="s">
        <v>307</v>
      </c>
      <c r="O23" t="e">
        <f>#REF!-#REF!</f>
        <v>#REF!</v>
      </c>
    </row>
    <row r="24" spans="1:19">
      <c r="A24" s="60" t="s">
        <v>308</v>
      </c>
      <c r="B24" s="87">
        <v>1206.9922739799999</v>
      </c>
      <c r="C24" s="87">
        <v>0</v>
      </c>
      <c r="D24" s="87">
        <v>22.716089421168011</v>
      </c>
      <c r="E24" s="87">
        <v>3.2605605625669081</v>
      </c>
      <c r="F24" s="87">
        <v>8.9636277724726033E-3</v>
      </c>
      <c r="G24" s="87">
        <v>3000</v>
      </c>
      <c r="H24" t="s">
        <v>309</v>
      </c>
      <c r="I24" t="s">
        <v>299</v>
      </c>
      <c r="J24">
        <f>(B21-B27/2)/(12.5-6.25)</f>
        <v>3.2</v>
      </c>
      <c r="K24">
        <v>25</v>
      </c>
      <c r="L24">
        <v>6.25</v>
      </c>
      <c r="M24">
        <v>12.5</v>
      </c>
    </row>
    <row r="25" spans="1:19">
      <c r="A25" s="37"/>
      <c r="B25" s="39" t="s">
        <v>264</v>
      </c>
      <c r="C25" s="39" t="s">
        <v>265</v>
      </c>
      <c r="D25" s="39" t="s">
        <v>266</v>
      </c>
      <c r="E25" s="39" t="s">
        <v>267</v>
      </c>
      <c r="F25" s="39" t="s">
        <v>268</v>
      </c>
      <c r="G25" s="39" t="s">
        <v>269</v>
      </c>
      <c r="I25" s="34" t="s">
        <v>300</v>
      </c>
      <c r="J25">
        <f>B21-12.5*J24</f>
        <v>1310</v>
      </c>
      <c r="K25" s="66">
        <f>K24*J24+J25</f>
        <v>1390</v>
      </c>
      <c r="L25">
        <f>(L24*J24+J25)*2</f>
        <v>2660</v>
      </c>
      <c r="M25">
        <f>M24*J24+J25</f>
        <v>1350</v>
      </c>
    </row>
    <row r="26" spans="1:19">
      <c r="A26" s="51" t="s">
        <v>310</v>
      </c>
      <c r="B26" s="37">
        <v>2642</v>
      </c>
      <c r="C26" s="37">
        <v>0</v>
      </c>
      <c r="D26" s="37">
        <v>13.65356101747108</v>
      </c>
      <c r="E26" s="37">
        <v>4.8637050138730764</v>
      </c>
      <c r="F26" s="37">
        <v>-0.35920931695074909</v>
      </c>
      <c r="G26" s="37">
        <v>4000</v>
      </c>
      <c r="I26" t="s">
        <v>295</v>
      </c>
      <c r="K26" t="s">
        <v>311</v>
      </c>
    </row>
    <row r="27" spans="1:19">
      <c r="A27" s="51" t="s">
        <v>312</v>
      </c>
      <c r="B27" s="37">
        <v>2660</v>
      </c>
      <c r="C27" s="37">
        <v>0</v>
      </c>
      <c r="D27" s="37">
        <v>13.16552171895713</v>
      </c>
      <c r="E27" s="37">
        <v>4.8502370066278084</v>
      </c>
      <c r="F27" s="37">
        <v>-0.34990206294987392</v>
      </c>
      <c r="G27" s="37">
        <v>4000</v>
      </c>
      <c r="I27" t="s">
        <v>299</v>
      </c>
      <c r="J27">
        <f>(B20-B26/2)/(12.5-6.25)</f>
        <v>0.32</v>
      </c>
      <c r="K27">
        <v>25</v>
      </c>
      <c r="L27">
        <v>6.25</v>
      </c>
      <c r="M27">
        <v>12.5</v>
      </c>
    </row>
    <row r="28" spans="1:19">
      <c r="B28" s="26" t="s">
        <v>264</v>
      </c>
      <c r="C28" s="26" t="s">
        <v>265</v>
      </c>
      <c r="D28" s="26" t="s">
        <v>266</v>
      </c>
      <c r="E28" s="26" t="s">
        <v>267</v>
      </c>
      <c r="F28" s="26" t="s">
        <v>268</v>
      </c>
      <c r="G28" s="26" t="s">
        <v>269</v>
      </c>
      <c r="I28" s="34" t="s">
        <v>300</v>
      </c>
      <c r="J28">
        <f>B20-12.5*J27</f>
        <v>1319</v>
      </c>
      <c r="K28" s="66">
        <f>K27*J27+J28</f>
        <v>1327</v>
      </c>
      <c r="L28">
        <f>(L27*J27+J28)*2</f>
        <v>2642</v>
      </c>
      <c r="M28">
        <f>M27*J27+J28</f>
        <v>1323</v>
      </c>
    </row>
    <row r="29" spans="1:19">
      <c r="A29" s="52" t="s">
        <v>313</v>
      </c>
      <c r="B29">
        <v>2365</v>
      </c>
      <c r="C29">
        <v>0</v>
      </c>
      <c r="D29">
        <v>20.076933299250999</v>
      </c>
      <c r="E29">
        <v>4.2477394149850092</v>
      </c>
      <c r="F29">
        <v>-0.100928577909355</v>
      </c>
      <c r="G29">
        <v>3000</v>
      </c>
      <c r="I29">
        <f>B29/2</f>
        <v>1182.5</v>
      </c>
    </row>
    <row r="30" spans="1:19">
      <c r="A30" s="52" t="s">
        <v>314</v>
      </c>
      <c r="B30">
        <v>2377</v>
      </c>
      <c r="C30">
        <v>0</v>
      </c>
      <c r="D30">
        <v>18.924160424826539</v>
      </c>
      <c r="E30">
        <v>4.4774154286393957</v>
      </c>
      <c r="F30">
        <v>-0.1364757086720472</v>
      </c>
      <c r="G30">
        <v>3000</v>
      </c>
      <c r="I30">
        <f>B30/2</f>
        <v>1188.5</v>
      </c>
    </row>
    <row r="32" spans="1:19">
      <c r="A32" s="62" t="s">
        <v>315</v>
      </c>
    </row>
    <row r="33" spans="1:13">
      <c r="A33" s="62" t="s">
        <v>316</v>
      </c>
      <c r="J33" s="65" t="s">
        <v>317</v>
      </c>
      <c r="K33" s="33" t="s">
        <v>318</v>
      </c>
      <c r="L33" s="33" t="s">
        <v>319</v>
      </c>
      <c r="M33" s="65">
        <v>3000</v>
      </c>
    </row>
    <row r="34" spans="1:13">
      <c r="A34" s="37"/>
    </row>
    <row r="35" spans="1:13">
      <c r="A35" s="51" t="s">
        <v>320</v>
      </c>
    </row>
    <row r="36" spans="1:13">
      <c r="A36" s="51" t="s">
        <v>321</v>
      </c>
    </row>
    <row r="38" spans="1:13">
      <c r="A38" s="52" t="s">
        <v>322</v>
      </c>
    </row>
    <row r="39" spans="1:13">
      <c r="A39" s="52" t="s">
        <v>323</v>
      </c>
    </row>
    <row r="40" spans="1:13">
      <c r="B40" s="27" t="s">
        <v>324</v>
      </c>
      <c r="C40" s="27" t="s">
        <v>325</v>
      </c>
      <c r="D40" s="27" t="s">
        <v>326</v>
      </c>
      <c r="E40" s="27" t="s">
        <v>327</v>
      </c>
      <c r="F40" s="27" t="s">
        <v>328</v>
      </c>
      <c r="G40" s="27" t="s">
        <v>329</v>
      </c>
      <c r="H40" s="27" t="s">
        <v>330</v>
      </c>
      <c r="I40" s="27" t="s">
        <v>331</v>
      </c>
      <c r="J40" s="27" t="s">
        <v>332</v>
      </c>
    </row>
    <row r="41" spans="1:13">
      <c r="A41" t="s">
        <v>333</v>
      </c>
      <c r="B41" s="27">
        <v>8.6989999999999998</v>
      </c>
      <c r="C41" s="27">
        <v>1.6420000000000001E-2</v>
      </c>
      <c r="D41" s="27">
        <v>-2.7549999999999997E-4</v>
      </c>
      <c r="E41" s="27">
        <v>2.683E-6</v>
      </c>
      <c r="F41" s="27">
        <v>-1.015E-8</v>
      </c>
      <c r="G41" s="27">
        <v>-24205</v>
      </c>
      <c r="H41" s="27">
        <v>444.73</v>
      </c>
      <c r="I41" s="27">
        <v>-0.59287999999999996</v>
      </c>
      <c r="J41" s="27">
        <v>1.5292000000000001E-3</v>
      </c>
    </row>
    <row r="42" spans="1:13">
      <c r="B42" s="27" t="s">
        <v>324</v>
      </c>
      <c r="C42" s="27" t="s">
        <v>325</v>
      </c>
      <c r="D42" s="27" t="s">
        <v>329</v>
      </c>
      <c r="E42" s="27" t="s">
        <v>330</v>
      </c>
      <c r="F42" s="27" t="s">
        <v>331</v>
      </c>
      <c r="G42" s="27" t="s">
        <v>332</v>
      </c>
    </row>
    <row r="43" spans="1:13">
      <c r="A43" t="s">
        <v>334</v>
      </c>
      <c r="B43" s="27">
        <v>6.5410599999999999</v>
      </c>
      <c r="C43" s="27">
        <v>1.2324E-3</v>
      </c>
      <c r="D43" s="27">
        <v>-28163.599999999999</v>
      </c>
      <c r="E43" s="27">
        <v>546.32000000000005</v>
      </c>
      <c r="F43" s="27">
        <v>-1.13412</v>
      </c>
      <c r="G43" s="27">
        <v>1.9273999999999999E-3</v>
      </c>
    </row>
    <row r="44" spans="1:13">
      <c r="A44" s="25" t="s">
        <v>335</v>
      </c>
    </row>
    <row r="45" spans="1:13">
      <c r="B45" t="s">
        <v>336</v>
      </c>
      <c r="C45" t="s">
        <v>337</v>
      </c>
      <c r="D45" t="s">
        <v>338</v>
      </c>
      <c r="E45" t="s">
        <v>339</v>
      </c>
    </row>
    <row r="46" spans="1:13">
      <c r="B46" t="s">
        <v>340</v>
      </c>
      <c r="C46" t="s">
        <v>264</v>
      </c>
      <c r="D46" t="s">
        <v>269</v>
      </c>
      <c r="E46" t="s">
        <v>266</v>
      </c>
      <c r="F46" t="s">
        <v>267</v>
      </c>
      <c r="G46" t="s">
        <v>341</v>
      </c>
      <c r="H46" t="s">
        <v>342</v>
      </c>
    </row>
    <row r="47" spans="1:13">
      <c r="A47" s="48" t="s">
        <v>343</v>
      </c>
      <c r="B47" s="50">
        <v>2.9199999999999999E-3</v>
      </c>
      <c r="C47" s="49">
        <v>15.095000000000001</v>
      </c>
      <c r="D47" s="11">
        <v>1673</v>
      </c>
      <c r="E47" s="49">
        <v>36.61</v>
      </c>
      <c r="F47" s="11">
        <v>4</v>
      </c>
      <c r="G47" s="11" t="s">
        <v>344</v>
      </c>
      <c r="H47" t="s">
        <v>345</v>
      </c>
    </row>
    <row r="48" spans="1:13">
      <c r="A48" s="48" t="s">
        <v>346</v>
      </c>
      <c r="B48" s="50">
        <v>3.6930000000000001E-3</v>
      </c>
      <c r="C48" s="49">
        <v>15.243</v>
      </c>
      <c r="D48" s="11">
        <v>1673</v>
      </c>
      <c r="E48" s="49">
        <v>27.11</v>
      </c>
      <c r="F48" s="11">
        <v>4</v>
      </c>
      <c r="G48" s="11" t="s">
        <v>344</v>
      </c>
      <c r="H48" t="s">
        <v>347</v>
      </c>
    </row>
    <row r="49" spans="1:13">
      <c r="A49" s="97" t="s">
        <v>348</v>
      </c>
      <c r="B49" s="28">
        <v>4.5399999999999998E-3</v>
      </c>
      <c r="C49" s="23">
        <v>20.170000000000002</v>
      </c>
      <c r="D49">
        <v>1673</v>
      </c>
      <c r="E49" s="23">
        <f>4/0.241</f>
        <v>16.597510373443985</v>
      </c>
      <c r="F49">
        <v>4</v>
      </c>
      <c r="G49" t="s">
        <v>344</v>
      </c>
      <c r="H49" t="s">
        <v>349</v>
      </c>
    </row>
    <row r="50" spans="1:13">
      <c r="A50" s="48" t="s">
        <v>350</v>
      </c>
      <c r="B50" s="50">
        <v>2.9199999999999999E-3</v>
      </c>
      <c r="C50" s="49">
        <v>13.65</v>
      </c>
      <c r="D50" s="11">
        <v>1673</v>
      </c>
      <c r="E50" s="49">
        <v>30.33</v>
      </c>
      <c r="F50" s="11">
        <v>4</v>
      </c>
      <c r="G50" s="11" t="s">
        <v>351</v>
      </c>
      <c r="H50" t="s">
        <v>349</v>
      </c>
    </row>
    <row r="51" spans="1:13">
      <c r="A51" s="97" t="s">
        <v>352</v>
      </c>
      <c r="B51" s="28">
        <v>4.5399999999999998E-3</v>
      </c>
      <c r="C51" s="23">
        <v>21.065000000000001</v>
      </c>
      <c r="D51">
        <v>1673</v>
      </c>
      <c r="E51" s="23">
        <v>16.600000000000001</v>
      </c>
      <c r="F51">
        <v>4</v>
      </c>
      <c r="G51" t="s">
        <v>351</v>
      </c>
      <c r="H51" t="s">
        <v>353</v>
      </c>
      <c r="L51" t="s">
        <v>354</v>
      </c>
    </row>
    <row r="52" spans="1:13">
      <c r="A52" s="48" t="s">
        <v>355</v>
      </c>
      <c r="B52" s="50">
        <v>2.9199999999999999E-3</v>
      </c>
      <c r="C52" s="49">
        <v>13.65</v>
      </c>
      <c r="D52" s="11">
        <v>1673</v>
      </c>
      <c r="E52" s="49">
        <v>30.33</v>
      </c>
      <c r="F52" s="11">
        <v>4</v>
      </c>
      <c r="G52" s="11" t="s">
        <v>351</v>
      </c>
      <c r="H52" t="s">
        <v>356</v>
      </c>
    </row>
    <row r="53" spans="1:13">
      <c r="A53" s="97" t="s">
        <v>357</v>
      </c>
      <c r="B53" s="28">
        <v>4.5399999999999998E-3</v>
      </c>
      <c r="C53" s="23">
        <v>18.899999999999999</v>
      </c>
      <c r="D53">
        <v>1673</v>
      </c>
      <c r="E53" s="23">
        <v>10.8</v>
      </c>
      <c r="F53">
        <v>4</v>
      </c>
      <c r="G53" t="s">
        <v>351</v>
      </c>
      <c r="H53" t="s">
        <v>358</v>
      </c>
    </row>
    <row r="54" spans="1:13">
      <c r="A54" s="48" t="s">
        <v>359</v>
      </c>
      <c r="B54" s="50">
        <v>3.6900000000000001E-3</v>
      </c>
      <c r="C54" s="49">
        <v>12.86</v>
      </c>
      <c r="D54" s="11">
        <v>1723</v>
      </c>
      <c r="E54" s="11">
        <v>21.2</v>
      </c>
      <c r="F54" s="11">
        <v>4</v>
      </c>
      <c r="H54" t="s">
        <v>360</v>
      </c>
      <c r="I54" t="s">
        <v>361</v>
      </c>
    </row>
    <row r="55" spans="1:13">
      <c r="A55" s="97" t="s">
        <v>362</v>
      </c>
      <c r="C55" s="23">
        <v>7.0759999999999996</v>
      </c>
      <c r="D55">
        <v>300</v>
      </c>
      <c r="E55">
        <v>5</v>
      </c>
      <c r="F55">
        <v>5</v>
      </c>
      <c r="H55" t="s">
        <v>363</v>
      </c>
    </row>
    <row r="56" spans="1:13">
      <c r="A56" s="48" t="s">
        <v>364</v>
      </c>
      <c r="B56" s="50">
        <v>2.9199999999999999E-3</v>
      </c>
      <c r="C56" s="49">
        <v>15.095000000000001</v>
      </c>
      <c r="D56" s="11">
        <v>1673</v>
      </c>
      <c r="E56" s="49">
        <f>4/0.0827</f>
        <v>48.367593712212823</v>
      </c>
      <c r="F56" s="11">
        <v>4</v>
      </c>
      <c r="G56" s="11" t="s">
        <v>344</v>
      </c>
      <c r="H56" t="s">
        <v>365</v>
      </c>
    </row>
    <row r="57" spans="1:13">
      <c r="A57" s="48" t="s">
        <v>366</v>
      </c>
      <c r="B57" s="50">
        <v>3.6930000000000001E-3</v>
      </c>
      <c r="C57" s="49">
        <v>15.243</v>
      </c>
      <c r="D57" s="11">
        <v>1673</v>
      </c>
      <c r="E57" s="49">
        <f>4/0.1137</f>
        <v>35.180299032541775</v>
      </c>
      <c r="F57" s="11">
        <v>4</v>
      </c>
      <c r="G57" s="11" t="s">
        <v>344</v>
      </c>
      <c r="H57" t="s">
        <v>365</v>
      </c>
    </row>
    <row r="60" spans="1:13">
      <c r="M60" s="53"/>
    </row>
    <row r="61" spans="1:13">
      <c r="B61" t="s">
        <v>270</v>
      </c>
      <c r="C61" t="s">
        <v>271</v>
      </c>
      <c r="D61" t="s">
        <v>272</v>
      </c>
      <c r="E61" t="s">
        <v>367</v>
      </c>
      <c r="F61" t="s">
        <v>368</v>
      </c>
      <c r="G61" t="s">
        <v>369</v>
      </c>
      <c r="H61" t="s">
        <v>264</v>
      </c>
      <c r="I61" t="s">
        <v>266</v>
      </c>
      <c r="J61" t="s">
        <v>267</v>
      </c>
      <c r="K61" t="s">
        <v>370</v>
      </c>
      <c r="L61" t="s">
        <v>371</v>
      </c>
      <c r="M61" t="s">
        <v>372</v>
      </c>
    </row>
    <row r="62" spans="1:13">
      <c r="A62" t="s">
        <v>362</v>
      </c>
      <c r="B62">
        <v>16300.921</v>
      </c>
      <c r="C62">
        <v>381.47161999999997</v>
      </c>
      <c r="D62">
        <v>-52.275399999999998</v>
      </c>
      <c r="E62">
        <v>1.7757800000000001E-4</v>
      </c>
      <c r="F62">
        <v>-395355.43</v>
      </c>
      <c r="G62">
        <v>-2476.2800000000002</v>
      </c>
      <c r="H62">
        <v>6.82</v>
      </c>
      <c r="I62">
        <v>163.4</v>
      </c>
      <c r="J62">
        <v>5.38</v>
      </c>
      <c r="K62">
        <v>7</v>
      </c>
      <c r="L62">
        <v>5.5</v>
      </c>
      <c r="M62" s="53">
        <v>1.4</v>
      </c>
    </row>
    <row r="63" spans="1:13">
      <c r="A63" t="s">
        <v>373</v>
      </c>
      <c r="B63">
        <v>12460.921</v>
      </c>
      <c r="C63">
        <v>386.99162000000001</v>
      </c>
      <c r="D63">
        <v>-52.275399999999998</v>
      </c>
      <c r="E63">
        <v>1.7757800000000001E-4</v>
      </c>
      <c r="F63">
        <v>-395355.43</v>
      </c>
      <c r="G63">
        <v>-2476.2800000000002</v>
      </c>
      <c r="H63">
        <v>6.7530000000000001</v>
      </c>
      <c r="I63">
        <v>163.4</v>
      </c>
      <c r="J63">
        <v>5.38</v>
      </c>
      <c r="K63">
        <v>5.8</v>
      </c>
      <c r="L63">
        <v>5.0999999999999996</v>
      </c>
      <c r="M63" s="53">
        <v>1.4</v>
      </c>
    </row>
    <row r="64" spans="1:13">
      <c r="A64" t="s">
        <v>374</v>
      </c>
      <c r="B64">
        <v>-9007.3402000000006</v>
      </c>
      <c r="C64">
        <v>290.29865999999998</v>
      </c>
      <c r="D64">
        <v>-46</v>
      </c>
      <c r="E64">
        <v>0</v>
      </c>
      <c r="F64">
        <v>0</v>
      </c>
      <c r="G64">
        <v>0</v>
      </c>
      <c r="H64">
        <v>6.88</v>
      </c>
      <c r="I64">
        <v>148</v>
      </c>
      <c r="J64">
        <v>5.8</v>
      </c>
      <c r="K64">
        <v>9</v>
      </c>
      <c r="L64">
        <v>5.0999999999999996</v>
      </c>
      <c r="M64">
        <v>0.56000000000000005</v>
      </c>
    </row>
    <row r="65" spans="1:13">
      <c r="A65" t="s">
        <v>375</v>
      </c>
      <c r="B65">
        <v>-279318</v>
      </c>
      <c r="C65">
        <v>252.84800000000001</v>
      </c>
      <c r="D65">
        <v>-46.128259999999997</v>
      </c>
      <c r="E65">
        <v>-5.7402979999999996E-3</v>
      </c>
      <c r="F65">
        <v>0</v>
      </c>
      <c r="G65">
        <v>0</v>
      </c>
      <c r="H65">
        <v>12.256</v>
      </c>
      <c r="I65">
        <v>149</v>
      </c>
      <c r="J65">
        <v>3.83</v>
      </c>
      <c r="K65">
        <v>4.5</v>
      </c>
      <c r="L65">
        <v>4.25</v>
      </c>
      <c r="M65" s="53">
        <v>1.4</v>
      </c>
    </row>
    <row r="66" spans="1:13">
      <c r="A66" t="s">
        <v>359</v>
      </c>
      <c r="B66">
        <v>-245310</v>
      </c>
      <c r="C66">
        <v>231.87899999999999</v>
      </c>
      <c r="D66">
        <v>-46.128259999999997</v>
      </c>
      <c r="E66">
        <v>-5.7402979999999996E-3</v>
      </c>
      <c r="F66">
        <v>0</v>
      </c>
      <c r="G66">
        <v>0</v>
      </c>
      <c r="H66">
        <v>13.16</v>
      </c>
      <c r="I66">
        <v>128</v>
      </c>
      <c r="J66">
        <v>3.85</v>
      </c>
      <c r="K66">
        <v>4.7</v>
      </c>
      <c r="L66">
        <v>4.5</v>
      </c>
      <c r="M66" s="53">
        <v>1.4</v>
      </c>
    </row>
    <row r="67" spans="1:13">
      <c r="A67" t="s">
        <v>376</v>
      </c>
    </row>
    <row r="71" spans="1:13">
      <c r="B71" t="s">
        <v>377</v>
      </c>
      <c r="C71" t="s">
        <v>378</v>
      </c>
      <c r="D71" t="s">
        <v>379</v>
      </c>
      <c r="E71" t="s">
        <v>380</v>
      </c>
      <c r="F71" t="s">
        <v>381</v>
      </c>
      <c r="G71" t="s">
        <v>382</v>
      </c>
      <c r="H71" t="s">
        <v>383</v>
      </c>
    </row>
    <row r="72" spans="1:13">
      <c r="A72" t="s">
        <v>384</v>
      </c>
      <c r="B72">
        <v>11</v>
      </c>
      <c r="C72">
        <v>20</v>
      </c>
      <c r="D72">
        <v>4</v>
      </c>
      <c r="E72">
        <v>0</v>
      </c>
      <c r="F72">
        <v>6</v>
      </c>
      <c r="G72">
        <v>9</v>
      </c>
      <c r="H72">
        <v>52</v>
      </c>
    </row>
    <row r="73" spans="1:13">
      <c r="A73" t="s">
        <v>385</v>
      </c>
      <c r="B73">
        <v>11</v>
      </c>
      <c r="C73">
        <v>20</v>
      </c>
      <c r="D73">
        <v>4</v>
      </c>
      <c r="E73">
        <v>0</v>
      </c>
      <c r="F73">
        <v>6</v>
      </c>
      <c r="G73">
        <v>9</v>
      </c>
      <c r="H73">
        <v>52</v>
      </c>
    </row>
    <row r="74" spans="1:13">
      <c r="A74" t="s">
        <v>386</v>
      </c>
      <c r="B74">
        <v>11</v>
      </c>
      <c r="C74">
        <v>20</v>
      </c>
      <c r="D74">
        <v>4</v>
      </c>
      <c r="E74">
        <v>36</v>
      </c>
      <c r="F74">
        <v>15</v>
      </c>
      <c r="G74">
        <v>12</v>
      </c>
      <c r="H74">
        <v>56</v>
      </c>
    </row>
    <row r="75" spans="1:13">
      <c r="A75" t="s">
        <v>387</v>
      </c>
      <c r="B75">
        <v>11</v>
      </c>
      <c r="C75">
        <v>20</v>
      </c>
      <c r="D75">
        <v>64</v>
      </c>
      <c r="E75">
        <v>36</v>
      </c>
      <c r="F75">
        <v>15</v>
      </c>
      <c r="G75">
        <v>12</v>
      </c>
      <c r="H75">
        <v>55</v>
      </c>
    </row>
    <row r="76" spans="1:13">
      <c r="A76" t="s">
        <v>388</v>
      </c>
      <c r="B76">
        <v>11</v>
      </c>
      <c r="C76">
        <v>20</v>
      </c>
      <c r="D76">
        <v>4</v>
      </c>
      <c r="E76">
        <v>33</v>
      </c>
      <c r="F76">
        <v>21</v>
      </c>
      <c r="G76">
        <v>18</v>
      </c>
      <c r="H76">
        <v>67</v>
      </c>
    </row>
    <row r="77" spans="1:13">
      <c r="A77" t="s">
        <v>389</v>
      </c>
      <c r="B77">
        <v>11</v>
      </c>
      <c r="C77">
        <v>20</v>
      </c>
      <c r="D77">
        <v>75</v>
      </c>
      <c r="E77">
        <v>33</v>
      </c>
      <c r="F77">
        <v>21</v>
      </c>
      <c r="G77">
        <v>18</v>
      </c>
      <c r="H77">
        <v>80</v>
      </c>
    </row>
    <row r="78" spans="1:13">
      <c r="A78" t="s">
        <v>390</v>
      </c>
      <c r="B78">
        <v>11</v>
      </c>
      <c r="C78">
        <v>20</v>
      </c>
      <c r="D78">
        <v>4</v>
      </c>
      <c r="E78">
        <v>30</v>
      </c>
      <c r="F78">
        <v>27</v>
      </c>
      <c r="G78">
        <v>24</v>
      </c>
      <c r="H78">
        <v>58</v>
      </c>
    </row>
    <row r="79" spans="1:13">
      <c r="A79" t="s">
        <v>391</v>
      </c>
      <c r="B79">
        <v>11</v>
      </c>
      <c r="C79">
        <v>20</v>
      </c>
      <c r="D79">
        <v>69</v>
      </c>
      <c r="E79">
        <v>30</v>
      </c>
      <c r="F79">
        <v>27</v>
      </c>
      <c r="G79">
        <v>24</v>
      </c>
      <c r="H79">
        <v>67</v>
      </c>
    </row>
    <row r="80" spans="1:13">
      <c r="A80" t="s">
        <v>392</v>
      </c>
    </row>
    <row r="85" spans="1:18">
      <c r="B85" s="85" t="s">
        <v>270</v>
      </c>
      <c r="C85" s="85" t="s">
        <v>271</v>
      </c>
      <c r="D85" s="85" t="s">
        <v>272</v>
      </c>
      <c r="E85" s="85" t="s">
        <v>264</v>
      </c>
      <c r="F85" s="85" t="s">
        <v>265</v>
      </c>
      <c r="G85" s="85" t="s">
        <v>266</v>
      </c>
      <c r="H85" s="85" t="s">
        <v>267</v>
      </c>
      <c r="I85" s="85" t="s">
        <v>268</v>
      </c>
      <c r="J85" s="85" t="s">
        <v>269</v>
      </c>
      <c r="K85" s="85" t="s">
        <v>393</v>
      </c>
      <c r="L85" s="85" t="s">
        <v>394</v>
      </c>
      <c r="M85" s="85" t="s">
        <v>395</v>
      </c>
      <c r="N85" s="85" t="s">
        <v>396</v>
      </c>
      <c r="O85" s="85" t="s">
        <v>397</v>
      </c>
      <c r="P85" s="85" t="s">
        <v>398</v>
      </c>
      <c r="Q85" s="85" t="s">
        <v>399</v>
      </c>
      <c r="R85" s="85" t="s">
        <v>287</v>
      </c>
    </row>
    <row r="86" spans="1:18">
      <c r="A86" s="85" t="s">
        <v>391</v>
      </c>
      <c r="B86">
        <v>26.882025579072259</v>
      </c>
      <c r="C86">
        <v>49.804291278431819</v>
      </c>
      <c r="D86">
        <v>23.897408444799709</v>
      </c>
      <c r="E86">
        <v>2365</v>
      </c>
      <c r="F86">
        <v>0</v>
      </c>
      <c r="G86">
        <v>20.076933299250999</v>
      </c>
      <c r="H86">
        <v>4.2477394149850092</v>
      </c>
      <c r="I86">
        <v>-0.100928577909355</v>
      </c>
      <c r="J86">
        <v>3000</v>
      </c>
      <c r="K86">
        <v>0.17797942992975879</v>
      </c>
      <c r="L86">
        <v>0.50357978907267376</v>
      </c>
      <c r="M86">
        <v>0.33945644182353152</v>
      </c>
      <c r="N86">
        <v>0</v>
      </c>
      <c r="O86">
        <v>0</v>
      </c>
      <c r="P86">
        <v>0</v>
      </c>
      <c r="Q86">
        <v>0</v>
      </c>
      <c r="R86">
        <v>2.1522522313362239E-3</v>
      </c>
    </row>
    <row r="87" spans="1:18">
      <c r="A87" s="85" t="s">
        <v>390</v>
      </c>
      <c r="B87">
        <v>28.6482720219458</v>
      </c>
      <c r="C87">
        <v>53.601702963802182</v>
      </c>
      <c r="D87">
        <v>25.98198908449762</v>
      </c>
      <c r="E87">
        <v>2377</v>
      </c>
      <c r="F87">
        <v>0</v>
      </c>
      <c r="G87">
        <v>18.924160424826539</v>
      </c>
      <c r="H87">
        <v>4.4774154286393957</v>
      </c>
      <c r="I87">
        <v>-0.1364757086720472</v>
      </c>
      <c r="J87">
        <v>3000</v>
      </c>
      <c r="K87">
        <v>1.381416828764786E-14</v>
      </c>
      <c r="L87">
        <v>3.9421639111362641E-14</v>
      </c>
      <c r="M87">
        <v>2.6810590037730601E-14</v>
      </c>
      <c r="N87">
        <v>0</v>
      </c>
      <c r="O87">
        <v>0</v>
      </c>
      <c r="P87">
        <v>0</v>
      </c>
      <c r="Q87">
        <v>0</v>
      </c>
      <c r="R87">
        <v>1.2621774483536189E-29</v>
      </c>
    </row>
    <row r="88" spans="1:18">
      <c r="B88" s="84" t="s">
        <v>270</v>
      </c>
      <c r="C88" s="84" t="s">
        <v>271</v>
      </c>
      <c r="D88" s="84" t="s">
        <v>272</v>
      </c>
      <c r="E88" s="84" t="s">
        <v>264</v>
      </c>
      <c r="F88" s="84" t="s">
        <v>265</v>
      </c>
      <c r="G88" s="84" t="s">
        <v>266</v>
      </c>
      <c r="H88" s="84" t="s">
        <v>267</v>
      </c>
      <c r="I88" s="84" t="s">
        <v>268</v>
      </c>
      <c r="J88" s="84" t="s">
        <v>269</v>
      </c>
      <c r="K88" s="84" t="s">
        <v>393</v>
      </c>
      <c r="L88" s="84" t="s">
        <v>394</v>
      </c>
      <c r="M88" s="84" t="s">
        <v>395</v>
      </c>
      <c r="N88" s="84" t="s">
        <v>396</v>
      </c>
      <c r="O88" s="84" t="s">
        <v>397</v>
      </c>
      <c r="P88" s="84" t="s">
        <v>398</v>
      </c>
      <c r="Q88" s="84" t="s">
        <v>399</v>
      </c>
      <c r="R88" s="84" t="s">
        <v>287</v>
      </c>
    </row>
    <row r="89" spans="1:18">
      <c r="A89" s="84" t="s">
        <v>389</v>
      </c>
      <c r="B89">
        <v>35.793974833947061</v>
      </c>
      <c r="C89">
        <v>71.103136677426448</v>
      </c>
      <c r="D89">
        <v>36.595452251432391</v>
      </c>
      <c r="E89">
        <v>1180.1140142797849</v>
      </c>
      <c r="F89">
        <v>0</v>
      </c>
      <c r="G89">
        <v>26.947138612048491</v>
      </c>
      <c r="H89">
        <v>2.8025318714010781</v>
      </c>
      <c r="I89">
        <v>1.231347238922709E-2</v>
      </c>
      <c r="J89">
        <v>3000</v>
      </c>
      <c r="K89" s="46">
        <f>0.635387596070756/6/2.8</f>
        <v>3.7820690242306908E-2</v>
      </c>
      <c r="L89" s="46">
        <f>1.59645624208467/10/2.8</f>
        <v>5.7016294360166794E-2</v>
      </c>
      <c r="M89" s="46">
        <f>0.983787605665155/10/2.8</f>
        <v>3.5135271630898392E-2</v>
      </c>
      <c r="N89" s="46">
        <f>1.64696554648231/5</f>
        <v>0.32939310929646204</v>
      </c>
      <c r="O89" s="46">
        <f>0.347437937887496/7</f>
        <v>4.963399112678514E-2</v>
      </c>
      <c r="P89" s="46">
        <f>0.042094519858179/8</f>
        <v>5.2618149822723746E-3</v>
      </c>
      <c r="Q89" s="46">
        <f>0.00102596913703221/5</f>
        <v>2.0519382740644203E-4</v>
      </c>
      <c r="R89" s="46">
        <f>0.00617150417829233/28</f>
        <v>2.2041086351044036E-4</v>
      </c>
    </row>
    <row r="90" spans="1:18">
      <c r="A90" s="84" t="s">
        <v>388</v>
      </c>
      <c r="B90">
        <v>34.526163942068571</v>
      </c>
      <c r="C90">
        <v>68.644296229144231</v>
      </c>
      <c r="D90">
        <v>35.27069115769288</v>
      </c>
      <c r="E90">
        <v>1204.7636521289839</v>
      </c>
      <c r="F90">
        <v>0</v>
      </c>
      <c r="G90">
        <v>23.195300624904611</v>
      </c>
      <c r="H90">
        <v>3.2160893580641998</v>
      </c>
      <c r="I90">
        <v>9.3401831374553268E-3</v>
      </c>
      <c r="J90">
        <v>3000</v>
      </c>
      <c r="K90" s="46">
        <f>0.806754821729753/9/2.8</f>
        <v>3.201408022737115E-2</v>
      </c>
      <c r="L90" s="46">
        <f>2.04875992284507/10/2.8</f>
        <v>7.3169997244466795E-2</v>
      </c>
      <c r="M90" s="46">
        <f>1.27655035223264/10/2.8</f>
        <v>4.5591084008308573E-2</v>
      </c>
      <c r="N90" s="46">
        <f>2.77081671344877/5</f>
        <v>0.55416334268975398</v>
      </c>
      <c r="O90" s="46">
        <f>0.486487844572804/7</f>
        <v>6.9498263510400574E-2</v>
      </c>
      <c r="P90" s="46">
        <f>0.0653205786807996/8</f>
        <v>8.1650723350999502E-3</v>
      </c>
      <c r="Q90" s="46">
        <f>0.00327690998212958/5</f>
        <v>6.5538199642591597E-4</v>
      </c>
      <c r="R90" s="46">
        <f>0.0106492285386501/28</f>
        <v>3.8032959066607502E-4</v>
      </c>
    </row>
    <row r="91" spans="1:18">
      <c r="B91" s="91" t="s">
        <v>270</v>
      </c>
      <c r="C91" s="91" t="s">
        <v>271</v>
      </c>
      <c r="D91" s="91" t="s">
        <v>272</v>
      </c>
      <c r="E91" s="91" t="s">
        <v>264</v>
      </c>
      <c r="F91" s="91" t="s">
        <v>265</v>
      </c>
      <c r="G91" s="91" t="s">
        <v>266</v>
      </c>
      <c r="H91" s="91" t="s">
        <v>267</v>
      </c>
      <c r="I91" s="91" t="s">
        <v>268</v>
      </c>
      <c r="J91" s="91" t="s">
        <v>269</v>
      </c>
      <c r="K91" s="91" t="s">
        <v>393</v>
      </c>
      <c r="L91" s="91" t="s">
        <v>394</v>
      </c>
      <c r="M91" s="91" t="s">
        <v>395</v>
      </c>
      <c r="N91" s="91" t="s">
        <v>396</v>
      </c>
      <c r="O91" s="91" t="s">
        <v>397</v>
      </c>
      <c r="P91" s="91" t="s">
        <v>398</v>
      </c>
      <c r="Q91" s="91" t="s">
        <v>399</v>
      </c>
      <c r="R91" s="91" t="s">
        <v>287</v>
      </c>
    </row>
    <row r="92" spans="1:18">
      <c r="A92" s="91" t="s">
        <v>387</v>
      </c>
      <c r="B92">
        <v>31.34712676268099</v>
      </c>
      <c r="C92">
        <v>62.485200052240117</v>
      </c>
      <c r="D92">
        <v>32.467582900623214</v>
      </c>
      <c r="E92">
        <v>1192.0110655255869</v>
      </c>
      <c r="F92">
        <v>0</v>
      </c>
      <c r="G92">
        <v>23.954357594962168</v>
      </c>
      <c r="H92">
        <v>3.3210499599132621</v>
      </c>
      <c r="I92">
        <v>-8.9124969522336173E-3</v>
      </c>
      <c r="J92">
        <v>3000</v>
      </c>
      <c r="K92">
        <v>0.1091841318357822</v>
      </c>
      <c r="L92">
        <v>0.27348981624051932</v>
      </c>
      <c r="M92">
        <v>0.16813451213395239</v>
      </c>
      <c r="N92">
        <v>0.42743602455247898</v>
      </c>
      <c r="O92">
        <v>7.2636430711777847E-2</v>
      </c>
      <c r="P92">
        <v>8.1864866098339505E-3</v>
      </c>
      <c r="Q92">
        <v>4.259327406973212E-4</v>
      </c>
      <c r="R92">
        <v>3.1857359183787228E-4</v>
      </c>
    </row>
    <row r="93" spans="1:18">
      <c r="A93" s="91" t="s">
        <v>386</v>
      </c>
      <c r="B93">
        <v>30.384142639923301</v>
      </c>
      <c r="C93">
        <v>59.10950152482495</v>
      </c>
      <c r="D93">
        <v>29.649713938593361</v>
      </c>
      <c r="E93">
        <v>1256.7271790775819</v>
      </c>
      <c r="F93">
        <v>0</v>
      </c>
      <c r="G93">
        <v>16.126139047000279</v>
      </c>
      <c r="H93">
        <v>4.5840119046188361</v>
      </c>
      <c r="I93">
        <v>-0.17715295387156879</v>
      </c>
      <c r="J93">
        <v>3000</v>
      </c>
      <c r="K93">
        <v>9.9567654186243151E-2</v>
      </c>
      <c r="L93">
        <v>0.25549981576443209</v>
      </c>
      <c r="M93">
        <v>0.16287548792197029</v>
      </c>
      <c r="N93">
        <v>0.85403080678470744</v>
      </c>
      <c r="O93">
        <v>9.733875375166734E-2</v>
      </c>
      <c r="P93">
        <v>1.6387054942178781E-2</v>
      </c>
      <c r="Q93">
        <v>4.1959505469362744E-3</v>
      </c>
      <c r="R93">
        <v>4.0624098251764129E-4</v>
      </c>
    </row>
    <row r="94" spans="1:18">
      <c r="B94" s="70" t="s">
        <v>270</v>
      </c>
      <c r="C94" s="70" t="s">
        <v>271</v>
      </c>
      <c r="D94" s="70" t="s">
        <v>272</v>
      </c>
      <c r="E94" s="70" t="s">
        <v>264</v>
      </c>
      <c r="F94" s="70" t="s">
        <v>265</v>
      </c>
      <c r="G94" s="70" t="s">
        <v>266</v>
      </c>
      <c r="H94" s="70" t="s">
        <v>267</v>
      </c>
      <c r="I94" s="70" t="s">
        <v>268</v>
      </c>
      <c r="J94" s="70" t="s">
        <v>269</v>
      </c>
      <c r="K94" s="70" t="s">
        <v>393</v>
      </c>
      <c r="L94" s="70" t="s">
        <v>394</v>
      </c>
      <c r="M94" s="70" t="s">
        <v>395</v>
      </c>
      <c r="N94" s="70" t="s">
        <v>396</v>
      </c>
      <c r="O94" s="70" t="s">
        <v>397</v>
      </c>
      <c r="P94" s="70" t="s">
        <v>398</v>
      </c>
      <c r="Q94" s="70" t="s">
        <v>399</v>
      </c>
      <c r="R94" s="70" t="s">
        <v>287</v>
      </c>
    </row>
    <row r="95" spans="1:18">
      <c r="A95" s="70" t="s">
        <v>384</v>
      </c>
      <c r="B95">
        <v>32.593659206000048</v>
      </c>
      <c r="C95">
        <v>55.52503764310238</v>
      </c>
      <c r="D95">
        <v>25.158557059701899</v>
      </c>
      <c r="E95">
        <v>964.32499247712099</v>
      </c>
      <c r="F95">
        <v>0</v>
      </c>
      <c r="G95">
        <v>22.595311096752919</v>
      </c>
      <c r="H95">
        <v>6.4620749170509217</v>
      </c>
      <c r="I95">
        <v>-0.58334522704945702</v>
      </c>
      <c r="J95">
        <v>3000</v>
      </c>
      <c r="K95">
        <v>0.37719516501152278</v>
      </c>
      <c r="L95">
        <v>0.95391843604470983</v>
      </c>
      <c r="M95">
        <v>0.58306266659836958</v>
      </c>
      <c r="N95">
        <v>1.5344667585815339</v>
      </c>
      <c r="O95">
        <v>0.40619786816757841</v>
      </c>
      <c r="P95">
        <v>7.6732396627919933E-2</v>
      </c>
      <c r="Q95">
        <v>3.3908501395452352E-2</v>
      </c>
      <c r="R95">
        <v>1.6884421607952929E-3</v>
      </c>
    </row>
    <row r="96" spans="1:18">
      <c r="A96" s="70" t="s">
        <v>385</v>
      </c>
      <c r="B96">
        <v>20.607438437607939</v>
      </c>
      <c r="C96">
        <v>30.514445415903619</v>
      </c>
      <c r="D96">
        <v>12.06403743892654</v>
      </c>
      <c r="E96">
        <v>1287.2155412321899</v>
      </c>
      <c r="F96">
        <v>0</v>
      </c>
      <c r="G96">
        <v>13.385907032802431</v>
      </c>
      <c r="H96">
        <v>6.975216818273311</v>
      </c>
      <c r="I96">
        <v>-1.2030058250052329</v>
      </c>
      <c r="J96">
        <v>3000</v>
      </c>
      <c r="K96">
        <v>0.65789445005827885</v>
      </c>
      <c r="L96">
        <v>1.5991331888208939</v>
      </c>
      <c r="M96">
        <v>0.86157783394362797</v>
      </c>
      <c r="N96">
        <v>7.830401094061882</v>
      </c>
      <c r="O96">
        <v>0.81508859227405217</v>
      </c>
      <c r="P96">
        <v>0.23836621337421479</v>
      </c>
      <c r="Q96">
        <v>0.2067926012150122</v>
      </c>
      <c r="R96">
        <v>1.195142127299636E-2</v>
      </c>
    </row>
    <row r="97" spans="1:18">
      <c r="B97" t="s">
        <v>264</v>
      </c>
      <c r="C97" t="s">
        <v>265</v>
      </c>
      <c r="D97" t="s">
        <v>266</v>
      </c>
      <c r="E97" t="s">
        <v>267</v>
      </c>
      <c r="F97" t="s">
        <v>268</v>
      </c>
      <c r="G97" t="s">
        <v>269</v>
      </c>
      <c r="H97" t="s">
        <v>270</v>
      </c>
      <c r="I97" t="s">
        <v>271</v>
      </c>
      <c r="J97" t="s">
        <v>272</v>
      </c>
      <c r="K97" t="s">
        <v>273</v>
      </c>
      <c r="L97" t="s">
        <v>274</v>
      </c>
      <c r="M97" t="s">
        <v>275</v>
      </c>
    </row>
    <row r="98" spans="1:18">
      <c r="A98" t="s">
        <v>276</v>
      </c>
      <c r="B98">
        <v>1180</v>
      </c>
      <c r="C98">
        <v>0</v>
      </c>
      <c r="D98">
        <v>21.1</v>
      </c>
      <c r="E98">
        <v>4.29</v>
      </c>
      <c r="F98">
        <v>-0.13</v>
      </c>
      <c r="G98">
        <v>3000</v>
      </c>
      <c r="H98">
        <v>29.9</v>
      </c>
      <c r="I98">
        <v>56.5</v>
      </c>
      <c r="J98">
        <v>28.1</v>
      </c>
      <c r="K98" t="s">
        <v>277</v>
      </c>
      <c r="L98" t="s">
        <v>277</v>
      </c>
      <c r="M98" t="s">
        <v>278</v>
      </c>
    </row>
    <row r="102" spans="1:18">
      <c r="A102" t="s">
        <v>400</v>
      </c>
    </row>
    <row r="103" spans="1:18">
      <c r="A103" s="83"/>
      <c r="B103" s="80" t="s">
        <v>270</v>
      </c>
      <c r="C103" s="81" t="s">
        <v>271</v>
      </c>
      <c r="D103" s="81" t="s">
        <v>272</v>
      </c>
      <c r="E103" s="81" t="s">
        <v>264</v>
      </c>
      <c r="F103" s="81" t="s">
        <v>265</v>
      </c>
      <c r="G103" s="81" t="s">
        <v>266</v>
      </c>
      <c r="H103" s="81" t="s">
        <v>267</v>
      </c>
      <c r="I103" s="81" t="s">
        <v>268</v>
      </c>
      <c r="J103" s="81" t="s">
        <v>269</v>
      </c>
      <c r="K103" s="81" t="s">
        <v>393</v>
      </c>
      <c r="L103" s="81" t="s">
        <v>394</v>
      </c>
      <c r="M103" s="81" t="s">
        <v>395</v>
      </c>
      <c r="N103" s="81" t="s">
        <v>396</v>
      </c>
      <c r="O103" s="81" t="s">
        <v>397</v>
      </c>
      <c r="P103" s="81" t="s">
        <v>398</v>
      </c>
      <c r="Q103" s="81" t="s">
        <v>399</v>
      </c>
      <c r="R103" s="81" t="s">
        <v>287</v>
      </c>
    </row>
    <row r="104" spans="1:18">
      <c r="A104" s="80" t="s">
        <v>389</v>
      </c>
      <c r="B104" s="83">
        <v>39.821648400000001</v>
      </c>
      <c r="C104" s="83">
        <v>81.658495000000002</v>
      </c>
      <c r="D104" s="83">
        <v>43.142595100000001</v>
      </c>
      <c r="E104" s="83">
        <v>1180.8506199999999</v>
      </c>
      <c r="F104" s="83">
        <v>0</v>
      </c>
      <c r="G104" s="83">
        <v>26.263754500000001</v>
      </c>
      <c r="H104" s="83">
        <v>2.9715135099999999</v>
      </c>
      <c r="I104" s="83">
        <v>3.7321899999999998E-3</v>
      </c>
      <c r="J104" s="83">
        <v>3000</v>
      </c>
      <c r="K104" s="83">
        <v>0.83727209999999996</v>
      </c>
      <c r="L104" s="83">
        <v>2.1442978099999999</v>
      </c>
      <c r="M104" s="83">
        <v>1.30617048</v>
      </c>
      <c r="N104" s="83">
        <v>2.7647449900000001</v>
      </c>
      <c r="O104" s="83">
        <v>0.57129483999999997</v>
      </c>
      <c r="P104" s="83">
        <v>6.6548800000000005E-2</v>
      </c>
      <c r="Q104" s="83">
        <v>2.0104599999999999E-3</v>
      </c>
      <c r="R104" s="83">
        <v>8.8343499999999995E-3</v>
      </c>
    </row>
    <row r="105" spans="1:18">
      <c r="A105" s="82" t="s">
        <v>388</v>
      </c>
      <c r="B105" s="83">
        <v>34.424459499999998</v>
      </c>
      <c r="C105" s="83">
        <v>68.207938600000006</v>
      </c>
      <c r="D105" s="83">
        <v>35.234162470000001</v>
      </c>
      <c r="E105" s="83">
        <v>1202.2334000000001</v>
      </c>
      <c r="F105" s="83">
        <v>0</v>
      </c>
      <c r="G105" s="83">
        <v>23.619752500000001</v>
      </c>
      <c r="H105" s="83">
        <v>3.1621840699999999</v>
      </c>
      <c r="I105" s="83">
        <v>1.228546E-2</v>
      </c>
      <c r="J105" s="83">
        <v>3000</v>
      </c>
      <c r="K105" s="83">
        <v>3.4753770000000003E-2</v>
      </c>
      <c r="L105" s="83">
        <v>8.950785E-2</v>
      </c>
      <c r="M105" s="83">
        <v>5.464815E-2</v>
      </c>
      <c r="N105" s="83">
        <v>0.14215383000000001</v>
      </c>
      <c r="O105" s="83">
        <v>2.5271660000000001E-2</v>
      </c>
      <c r="P105" s="83">
        <v>3.1108199999999998E-3</v>
      </c>
      <c r="Q105" s="83">
        <v>1.1971E-4</v>
      </c>
      <c r="R105" s="83">
        <v>1.6871000000000002E-5</v>
      </c>
    </row>
    <row r="107" spans="1:18">
      <c r="A107" s="77" t="s">
        <v>387</v>
      </c>
      <c r="B107">
        <v>23.610988345051322</v>
      </c>
      <c r="C107">
        <v>42.094123062776838</v>
      </c>
      <c r="D107">
        <v>19.761545479484671</v>
      </c>
      <c r="E107">
        <v>1203.4922152450911</v>
      </c>
      <c r="F107">
        <v>0</v>
      </c>
      <c r="G107">
        <v>21.08760707255761</v>
      </c>
      <c r="H107">
        <v>3.688051310345863</v>
      </c>
      <c r="I107">
        <v>-3.0753244909514699E-2</v>
      </c>
      <c r="J107">
        <v>3000</v>
      </c>
      <c r="K107">
        <v>1.526005654650701</v>
      </c>
      <c r="L107">
        <v>4.0796593322400341</v>
      </c>
      <c r="M107">
        <v>2.597586233377291</v>
      </c>
      <c r="N107">
        <v>10.86098480295421</v>
      </c>
      <c r="O107">
        <v>1.4357048021629299</v>
      </c>
      <c r="P107">
        <v>0.1398614121761432</v>
      </c>
      <c r="Q107">
        <v>1.119418297500911E-2</v>
      </c>
      <c r="R107">
        <v>4.8968627190287863E-2</v>
      </c>
    </row>
    <row r="108" spans="1:18">
      <c r="A108" s="77" t="s">
        <v>386</v>
      </c>
      <c r="B108">
        <v>21.791646199679651</v>
      </c>
      <c r="C108">
        <v>36.421493110139259</v>
      </c>
      <c r="D108">
        <v>15.59450526873712</v>
      </c>
      <c r="E108">
        <v>1270.305873926374</v>
      </c>
      <c r="F108">
        <v>0</v>
      </c>
      <c r="G108">
        <v>12.77746971077684</v>
      </c>
      <c r="H108">
        <v>5.4881712376447291</v>
      </c>
      <c r="I108">
        <v>-0.49066988339977602</v>
      </c>
      <c r="J108">
        <v>3000</v>
      </c>
      <c r="K108">
        <v>1.547377213544928</v>
      </c>
      <c r="L108">
        <v>4.0870596439217124</v>
      </c>
      <c r="M108">
        <v>2.6069079323354329</v>
      </c>
      <c r="N108">
        <v>14.77804492233569</v>
      </c>
      <c r="O108">
        <v>1.499679415631604</v>
      </c>
      <c r="P108">
        <v>0.4052424825116423</v>
      </c>
      <c r="Q108">
        <v>0.20652910192504159</v>
      </c>
      <c r="R108">
        <v>5.1726054198529173E-2</v>
      </c>
    </row>
    <row r="110" spans="1:18">
      <c r="A110" s="78" t="s">
        <v>391</v>
      </c>
      <c r="B110">
        <v>20.984517797981159</v>
      </c>
      <c r="C110">
        <v>33.46126399313053</v>
      </c>
      <c r="D110">
        <v>14.33469827996624</v>
      </c>
      <c r="E110">
        <v>2365</v>
      </c>
      <c r="F110">
        <v>0</v>
      </c>
      <c r="G110">
        <v>20.076933299250999</v>
      </c>
      <c r="H110">
        <v>4.2477394149850092</v>
      </c>
      <c r="I110">
        <v>-0.100928577909355</v>
      </c>
      <c r="J110">
        <v>3000</v>
      </c>
      <c r="K110">
        <v>1.8528818356162371</v>
      </c>
      <c r="L110">
        <v>5.2673044498009256</v>
      </c>
      <c r="M110">
        <v>3.436768708486285</v>
      </c>
      <c r="N110">
        <v>0</v>
      </c>
      <c r="O110">
        <v>0</v>
      </c>
      <c r="P110">
        <v>0</v>
      </c>
      <c r="Q110">
        <v>0</v>
      </c>
      <c r="R110">
        <v>0.1898153727253715</v>
      </c>
    </row>
    <row r="111" spans="1:18">
      <c r="A111" s="78" t="s">
        <v>390</v>
      </c>
      <c r="B111">
        <v>23.236280068692921</v>
      </c>
      <c r="C111">
        <v>37.706557669652582</v>
      </c>
      <c r="D111">
        <v>16.318298050768782</v>
      </c>
      <c r="E111">
        <v>2377</v>
      </c>
      <c r="F111">
        <v>0</v>
      </c>
      <c r="G111">
        <v>18.924160424826539</v>
      </c>
      <c r="H111">
        <v>4.4774154286393957</v>
      </c>
      <c r="I111">
        <v>-0.1364757086720472</v>
      </c>
      <c r="J111">
        <v>3000</v>
      </c>
      <c r="K111">
        <v>1.342201663776724</v>
      </c>
      <c r="L111">
        <v>3.839101567364239</v>
      </c>
      <c r="M111">
        <v>2.5211915952532049</v>
      </c>
      <c r="N111">
        <v>0</v>
      </c>
      <c r="O111">
        <v>0</v>
      </c>
      <c r="P111">
        <v>0</v>
      </c>
      <c r="Q111">
        <v>0</v>
      </c>
      <c r="R111">
        <v>9.870006612832187E-2</v>
      </c>
    </row>
    <row r="113" spans="1:19">
      <c r="A113" s="97" t="s">
        <v>401</v>
      </c>
    </row>
    <row r="114" spans="1:19">
      <c r="B114" s="84" t="s">
        <v>270</v>
      </c>
      <c r="C114" s="84" t="s">
        <v>271</v>
      </c>
      <c r="D114" s="84" t="s">
        <v>272</v>
      </c>
      <c r="E114" s="84" t="s">
        <v>264</v>
      </c>
      <c r="F114" s="84" t="s">
        <v>265</v>
      </c>
      <c r="G114" s="84" t="s">
        <v>266</v>
      </c>
      <c r="H114" s="84" t="s">
        <v>267</v>
      </c>
      <c r="I114" s="84" t="s">
        <v>268</v>
      </c>
      <c r="J114" s="84" t="s">
        <v>269</v>
      </c>
      <c r="K114" s="84" t="s">
        <v>393</v>
      </c>
      <c r="L114" s="84" t="s">
        <v>394</v>
      </c>
      <c r="M114" s="84" t="s">
        <v>395</v>
      </c>
      <c r="N114" s="84" t="s">
        <v>396</v>
      </c>
      <c r="O114" s="84" t="s">
        <v>397</v>
      </c>
      <c r="P114" s="84" t="s">
        <v>398</v>
      </c>
      <c r="Q114" s="84" t="s">
        <v>399</v>
      </c>
      <c r="R114" s="84" t="s">
        <v>287</v>
      </c>
    </row>
    <row r="115" spans="1:19">
      <c r="A115" s="84" t="s">
        <v>389</v>
      </c>
      <c r="B115">
        <v>35.793974833947061</v>
      </c>
      <c r="C115">
        <v>71.103136677426448</v>
      </c>
      <c r="D115">
        <v>36.595452251432391</v>
      </c>
      <c r="E115">
        <v>1180.1140142797849</v>
      </c>
      <c r="F115">
        <v>0</v>
      </c>
      <c r="G115">
        <v>26.947138612048491</v>
      </c>
      <c r="H115">
        <v>2.8025318714010781</v>
      </c>
      <c r="I115">
        <v>1.231347238922709E-2</v>
      </c>
      <c r="J115">
        <v>3000</v>
      </c>
      <c r="K115">
        <v>0.63538759607075557</v>
      </c>
      <c r="L115">
        <v>1.5964562420846731</v>
      </c>
      <c r="M115">
        <v>0.98378760566515477</v>
      </c>
      <c r="N115">
        <v>1.646965546482307</v>
      </c>
      <c r="O115">
        <v>0.34743793788749622</v>
      </c>
      <c r="P115">
        <v>4.2094519858179011E-2</v>
      </c>
      <c r="Q115">
        <v>1.0259691370322109E-3</v>
      </c>
      <c r="R115">
        <v>6.1715041782923301E-3</v>
      </c>
    </row>
    <row r="116" spans="1:19">
      <c r="A116" s="84" t="s">
        <v>388</v>
      </c>
      <c r="B116">
        <v>34.526163942068571</v>
      </c>
      <c r="C116">
        <v>68.644296229144231</v>
      </c>
      <c r="D116">
        <v>35.27069115769288</v>
      </c>
      <c r="E116">
        <v>1204.7636521289839</v>
      </c>
      <c r="F116">
        <v>0</v>
      </c>
      <c r="G116">
        <v>23.195300624904611</v>
      </c>
      <c r="H116">
        <v>3.2160893580641998</v>
      </c>
      <c r="I116">
        <v>9.3401831374553268E-3</v>
      </c>
      <c r="J116">
        <v>3000</v>
      </c>
      <c r="K116">
        <v>0.80675482172975332</v>
      </c>
      <c r="L116">
        <v>2.0487599228450719</v>
      </c>
      <c r="M116">
        <v>1.276550352232642</v>
      </c>
      <c r="N116">
        <v>2.770816713448768</v>
      </c>
      <c r="O116">
        <v>0.48648784457280381</v>
      </c>
      <c r="P116">
        <v>6.5320578680799601E-2</v>
      </c>
      <c r="Q116">
        <v>3.2769099821295792E-3</v>
      </c>
      <c r="R116">
        <v>1.0649228538650119E-2</v>
      </c>
    </row>
    <row r="120" spans="1:19">
      <c r="A120" t="s">
        <v>402</v>
      </c>
    </row>
    <row r="121" spans="1:19">
      <c r="A121" s="83"/>
      <c r="B121" s="81" t="s">
        <v>264</v>
      </c>
      <c r="C121" s="81" t="s">
        <v>266</v>
      </c>
      <c r="D121" s="81" t="s">
        <v>403</v>
      </c>
      <c r="E121" s="81" t="s">
        <v>404</v>
      </c>
      <c r="F121" s="92" t="s">
        <v>270</v>
      </c>
      <c r="G121" s="81" t="s">
        <v>271</v>
      </c>
      <c r="H121" s="81" t="s">
        <v>272</v>
      </c>
      <c r="I121" s="81" t="s">
        <v>287</v>
      </c>
      <c r="J121" s="81" t="s">
        <v>269</v>
      </c>
      <c r="K121" s="81" t="s">
        <v>265</v>
      </c>
      <c r="M121" s="84" t="s">
        <v>396</v>
      </c>
      <c r="N121" s="84" t="s">
        <v>397</v>
      </c>
      <c r="O121" s="84" t="s">
        <v>398</v>
      </c>
      <c r="S121" s="83"/>
    </row>
    <row r="122" spans="1:19">
      <c r="A122" s="92" t="s">
        <v>405</v>
      </c>
      <c r="B122" s="94">
        <v>1180.11401</v>
      </c>
      <c r="C122" s="94">
        <v>26.947138599999999</v>
      </c>
      <c r="D122" s="94">
        <v>2.8025318700000001</v>
      </c>
      <c r="E122" s="94">
        <v>1.231347E-2</v>
      </c>
      <c r="F122" s="94">
        <v>35.793974800000001</v>
      </c>
      <c r="G122" s="94">
        <v>71.103136699999993</v>
      </c>
      <c r="H122" s="94">
        <v>36.595452250000001</v>
      </c>
      <c r="I122" s="95">
        <v>6.1714999999999999E-3</v>
      </c>
      <c r="J122" s="83">
        <v>3000</v>
      </c>
      <c r="K122" s="83">
        <v>0</v>
      </c>
      <c r="M122">
        <v>1.646965546482307</v>
      </c>
      <c r="N122">
        <v>0.34743793788749622</v>
      </c>
      <c r="O122">
        <v>4.2094519858179011E-2</v>
      </c>
      <c r="S122" s="83"/>
    </row>
    <row r="123" spans="1:19">
      <c r="A123" s="82"/>
      <c r="B123" s="94">
        <v>1.64696555</v>
      </c>
      <c r="C123" s="94">
        <v>0.34743794</v>
      </c>
      <c r="D123" s="94">
        <v>4.2094520000000003E-2</v>
      </c>
      <c r="E123" s="94">
        <v>1.02597E-3</v>
      </c>
      <c r="F123" s="94">
        <v>0.63538760000000005</v>
      </c>
      <c r="G123" s="94">
        <v>1.59645624</v>
      </c>
      <c r="H123" s="94">
        <v>0.98378761000000003</v>
      </c>
      <c r="I123" s="95"/>
      <c r="J123" s="83"/>
      <c r="K123" s="83"/>
      <c r="M123">
        <v>2.770816713448768</v>
      </c>
      <c r="N123">
        <v>0.48648784457280381</v>
      </c>
      <c r="O123">
        <v>6.5320578680799601E-2</v>
      </c>
      <c r="S123" s="83"/>
    </row>
    <row r="124" spans="1:19">
      <c r="A124" s="92" t="s">
        <v>406</v>
      </c>
      <c r="B124" s="94">
        <v>1204.7636500000001</v>
      </c>
      <c r="C124" s="94">
        <v>23.195300599999999</v>
      </c>
      <c r="D124" s="94">
        <v>3.2160893599999998</v>
      </c>
      <c r="E124" s="94">
        <v>9.34018E-3</v>
      </c>
      <c r="F124" s="94">
        <v>34.5261639</v>
      </c>
      <c r="G124" s="94">
        <v>68.644296199999999</v>
      </c>
      <c r="H124" s="94">
        <v>35.270691159999998</v>
      </c>
      <c r="I124" s="95">
        <v>1.0649230000000001E-2</v>
      </c>
      <c r="J124" s="83">
        <v>3000</v>
      </c>
      <c r="K124" s="83">
        <v>0</v>
      </c>
      <c r="S124" s="83"/>
    </row>
    <row r="125" spans="1:19">
      <c r="A125" s="93"/>
      <c r="B125" s="94">
        <v>2.7708167100000001</v>
      </c>
      <c r="C125" s="94">
        <v>0.48648784</v>
      </c>
      <c r="D125" s="94">
        <v>6.5320580000000003E-2</v>
      </c>
      <c r="E125" s="94">
        <v>3.2769100000000001E-3</v>
      </c>
      <c r="F125" s="94">
        <v>0.80675481999999998</v>
      </c>
      <c r="G125" s="94">
        <v>2.0487599200000002</v>
      </c>
      <c r="H125" s="94">
        <v>1.2765503499999999</v>
      </c>
      <c r="I125" s="95"/>
      <c r="O125" s="83"/>
      <c r="P125" s="83"/>
      <c r="Q125" s="83"/>
      <c r="R125" s="83"/>
      <c r="S125" s="83"/>
    </row>
    <row r="126" spans="1:19">
      <c r="A126" s="92" t="s">
        <v>407</v>
      </c>
      <c r="B126" s="94">
        <v>1192.01107</v>
      </c>
      <c r="C126" s="94">
        <v>23.954357600000002</v>
      </c>
      <c r="D126" s="94">
        <v>3.3210499599999999</v>
      </c>
      <c r="E126" s="94">
        <v>-8.9125000000000003E-3</v>
      </c>
      <c r="F126" s="94">
        <v>31.347126800000002</v>
      </c>
      <c r="G126" s="94">
        <v>62.4852001</v>
      </c>
      <c r="H126" s="94">
        <v>32.467582899999996</v>
      </c>
      <c r="I126" s="95">
        <v>3.1857000000000001E-4</v>
      </c>
      <c r="J126" s="83">
        <v>3000</v>
      </c>
      <c r="K126" s="83">
        <v>0</v>
      </c>
      <c r="S126" s="83"/>
    </row>
    <row r="127" spans="1:19">
      <c r="A127" s="93"/>
      <c r="B127" s="94">
        <v>0.42743602000000003</v>
      </c>
      <c r="C127" s="94">
        <v>7.2636430000000002E-2</v>
      </c>
      <c r="D127" s="94">
        <v>8.1864899999999994E-3</v>
      </c>
      <c r="E127" s="94">
        <v>4.2592999999999998E-4</v>
      </c>
      <c r="F127" s="94">
        <v>0.10918413</v>
      </c>
      <c r="G127" s="94">
        <v>0.27348981999999999</v>
      </c>
      <c r="H127" s="94">
        <v>0.16813450999999999</v>
      </c>
      <c r="I127" s="95"/>
      <c r="O127" s="83"/>
      <c r="P127" s="83"/>
      <c r="Q127" s="83"/>
      <c r="R127" s="83"/>
      <c r="S127" s="83"/>
    </row>
    <row r="128" spans="1:19">
      <c r="A128" s="82" t="s">
        <v>407</v>
      </c>
      <c r="B128" s="94">
        <v>1256.7271800000001</v>
      </c>
      <c r="C128" s="94">
        <v>16.126138999999998</v>
      </c>
      <c r="D128" s="94">
        <v>4.5840119000000001</v>
      </c>
      <c r="E128" s="94">
        <v>-0.177153</v>
      </c>
      <c r="F128" s="94">
        <v>30.384142600000001</v>
      </c>
      <c r="G128" s="94">
        <v>59.1095015</v>
      </c>
      <c r="H128" s="94">
        <v>29.649713940000002</v>
      </c>
      <c r="I128" s="95">
        <v>4.0623999999999999E-4</v>
      </c>
      <c r="J128" s="83">
        <v>3000</v>
      </c>
      <c r="K128" s="83">
        <v>0</v>
      </c>
      <c r="S128" s="83"/>
    </row>
    <row r="129" spans="1:19">
      <c r="A129" s="93"/>
      <c r="B129" s="94">
        <v>0.85403081000000003</v>
      </c>
      <c r="C129" s="94">
        <v>9.7338750000000002E-2</v>
      </c>
      <c r="D129" s="94">
        <v>1.638705E-2</v>
      </c>
      <c r="E129" s="94">
        <v>4.1959500000000004E-3</v>
      </c>
      <c r="F129" s="94">
        <v>9.9567649999999994E-2</v>
      </c>
      <c r="G129" s="94">
        <v>0.25549981999999999</v>
      </c>
      <c r="H129" s="94">
        <v>0.16287549000000001</v>
      </c>
      <c r="I129" s="95"/>
      <c r="O129" s="83"/>
      <c r="P129" s="83"/>
      <c r="Q129" s="83"/>
      <c r="R129" s="83"/>
      <c r="S129" s="83"/>
    </row>
    <row r="130" spans="1:19">
      <c r="A130" s="92" t="s">
        <v>408</v>
      </c>
      <c r="B130" s="94">
        <v>964.32499199999995</v>
      </c>
      <c r="C130" s="94">
        <v>22.5953111</v>
      </c>
      <c r="D130" s="94">
        <v>6.4620749200000001</v>
      </c>
      <c r="E130" s="94">
        <v>-0.58334520000000001</v>
      </c>
      <c r="F130" s="94">
        <v>32.593659199999998</v>
      </c>
      <c r="G130" s="94">
        <v>55.525037599999997</v>
      </c>
      <c r="H130" s="94">
        <v>25.15855706</v>
      </c>
      <c r="I130" s="95">
        <v>1.68844E-3</v>
      </c>
      <c r="J130" s="83">
        <v>3000</v>
      </c>
      <c r="K130" s="83">
        <v>0</v>
      </c>
      <c r="S130" s="83"/>
    </row>
    <row r="131" spans="1:19">
      <c r="B131" s="94">
        <v>1.5344667599999999</v>
      </c>
      <c r="C131" s="94">
        <v>0.40619787000000002</v>
      </c>
      <c r="D131" s="94">
        <v>7.6732400000000006E-2</v>
      </c>
      <c r="E131" s="94">
        <v>3.3908500000000001E-2</v>
      </c>
      <c r="F131" s="94">
        <v>0.37719517000000002</v>
      </c>
      <c r="G131" s="94">
        <v>0.95391844000000003</v>
      </c>
      <c r="H131" s="94">
        <v>0.58306267000000001</v>
      </c>
      <c r="I131" s="96"/>
    </row>
    <row r="132" spans="1:19">
      <c r="A132" s="82" t="s">
        <v>409</v>
      </c>
      <c r="B132" s="94">
        <v>1287.2155399999999</v>
      </c>
      <c r="C132" s="94">
        <v>13.385907</v>
      </c>
      <c r="D132" s="94">
        <v>6.97521682</v>
      </c>
      <c r="E132" s="94">
        <v>-1.2030057999999999</v>
      </c>
      <c r="F132" s="94">
        <v>20.607438399999999</v>
      </c>
      <c r="G132" s="94">
        <v>30.5144454</v>
      </c>
      <c r="H132" s="94">
        <v>12.06403744</v>
      </c>
      <c r="I132" s="95">
        <v>1.1951420000000001E-2</v>
      </c>
      <c r="J132" s="83">
        <v>3000</v>
      </c>
      <c r="K132" s="83">
        <v>0</v>
      </c>
      <c r="S132" s="83"/>
    </row>
    <row r="133" spans="1:19">
      <c r="B133" s="94">
        <v>7.8304010899999996</v>
      </c>
      <c r="C133" s="94">
        <v>0.81508859</v>
      </c>
      <c r="D133" s="94">
        <v>0.23836621</v>
      </c>
      <c r="E133" s="94">
        <v>0.20679259999999999</v>
      </c>
      <c r="F133" s="94">
        <v>0.65789445000000002</v>
      </c>
      <c r="G133" s="94">
        <v>1.5991331900000001</v>
      </c>
      <c r="H133" s="94">
        <v>0.86157782999999999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1"/>
  <sheetViews>
    <sheetView zoomScale="139" workbookViewId="0">
      <selection activeCell="E5" sqref="E5"/>
    </sheetView>
  </sheetViews>
  <sheetFormatPr baseColWidth="10" defaultRowHeight="16"/>
  <sheetData>
    <row r="1" spans="1:5">
      <c r="A1" t="s">
        <v>17</v>
      </c>
      <c r="B1" s="98" t="s">
        <v>410</v>
      </c>
      <c r="C1" s="99" t="s">
        <v>579</v>
      </c>
      <c r="D1" s="99" t="s">
        <v>580</v>
      </c>
      <c r="E1" s="99" t="s">
        <v>581</v>
      </c>
    </row>
    <row r="2" spans="1:5">
      <c r="A2" s="98">
        <v>1E-4</v>
      </c>
      <c r="B2">
        <v>0</v>
      </c>
      <c r="C2">
        <v>0</v>
      </c>
      <c r="D2" s="89">
        <v>0</v>
      </c>
      <c r="E2">
        <v>0</v>
      </c>
    </row>
    <row r="3" spans="1:5">
      <c r="A3" s="98">
        <v>1.414240404040404</v>
      </c>
      <c r="B3">
        <v>0.42898999999999998</v>
      </c>
      <c r="C3">
        <v>0.50453999999999999</v>
      </c>
      <c r="D3" s="89">
        <v>0.3777375887092419</v>
      </c>
      <c r="E3">
        <v>0.46623999999999999</v>
      </c>
    </row>
    <row r="4" spans="1:5">
      <c r="A4" s="98">
        <v>2.8283808080808082</v>
      </c>
      <c r="B4">
        <v>0.691276</v>
      </c>
      <c r="C4">
        <v>0.76958700000000002</v>
      </c>
      <c r="D4" s="89">
        <v>0.61326585415830492</v>
      </c>
      <c r="E4">
        <v>0.73218799999999995</v>
      </c>
    </row>
    <row r="5" spans="1:5">
      <c r="A5" s="98">
        <v>4.2425212121212121</v>
      </c>
      <c r="B5">
        <v>0.85526000000000002</v>
      </c>
      <c r="C5">
        <v>0.92652100000000004</v>
      </c>
      <c r="D5" s="89">
        <v>0.76541975780821347</v>
      </c>
      <c r="E5">
        <v>0.90535600000000005</v>
      </c>
    </row>
    <row r="6" spans="1:5">
      <c r="A6" s="98">
        <v>5.6566616161616166</v>
      </c>
      <c r="B6">
        <v>0.96638000000000002</v>
      </c>
      <c r="C6">
        <v>1.0386299999999999</v>
      </c>
      <c r="D6" s="89">
        <v>0.87099887206988436</v>
      </c>
      <c r="E6">
        <v>1.03633</v>
      </c>
    </row>
    <row r="7" spans="1:5">
      <c r="A7" s="98">
        <v>7.070802020202021</v>
      </c>
      <c r="B7">
        <v>1.0514699999999999</v>
      </c>
      <c r="C7">
        <v>1.1349800000000001</v>
      </c>
      <c r="D7" s="89">
        <v>0.95150543589305514</v>
      </c>
      <c r="E7">
        <v>1.1488799999999999</v>
      </c>
    </row>
    <row r="8" spans="1:5">
      <c r="A8" s="98">
        <v>8.4849424242424245</v>
      </c>
      <c r="B8">
        <v>1.1254</v>
      </c>
      <c r="C8">
        <v>1.22868</v>
      </c>
      <c r="D8" s="89">
        <v>1.0191973033254009</v>
      </c>
      <c r="E8">
        <v>1.25437</v>
      </c>
    </row>
    <row r="9" spans="1:5">
      <c r="A9" s="98">
        <v>9.8990828282828289</v>
      </c>
      <c r="B9">
        <v>1.19607</v>
      </c>
      <c r="C9">
        <v>1.32545</v>
      </c>
      <c r="D9" s="89">
        <v>1.0809745623169991</v>
      </c>
      <c r="E9">
        <v>1.35825</v>
      </c>
    </row>
    <row r="10" spans="1:5">
      <c r="A10" s="98">
        <v>11.31322323232323</v>
      </c>
      <c r="B10">
        <v>1.26746</v>
      </c>
      <c r="C10">
        <v>1.4275199999999999</v>
      </c>
      <c r="D10" s="89">
        <v>1.1406665155848481</v>
      </c>
      <c r="E10">
        <v>1.4630799999999999</v>
      </c>
    </row>
    <row r="11" spans="1:5">
      <c r="A11" s="98">
        <v>12.72736363636364</v>
      </c>
      <c r="B11">
        <v>1.34145</v>
      </c>
      <c r="C11">
        <v>1.53545</v>
      </c>
      <c r="D11" s="89">
        <v>1.2003653561554759</v>
      </c>
      <c r="E11">
        <v>1.56995</v>
      </c>
    </row>
    <row r="12" spans="1:5">
      <c r="A12" s="98">
        <v>14.14150404040404</v>
      </c>
      <c r="B12">
        <v>1.41875</v>
      </c>
      <c r="C12">
        <v>1.6490499999999999</v>
      </c>
      <c r="D12" s="89">
        <v>1.261145062118773</v>
      </c>
      <c r="E12">
        <v>1.6792100000000001</v>
      </c>
    </row>
    <row r="13" spans="1:5">
      <c r="A13" s="98">
        <v>15.55564444444444</v>
      </c>
      <c r="B13">
        <v>1.4994700000000001</v>
      </c>
      <c r="C13">
        <v>1.7677700000000001</v>
      </c>
      <c r="D13" s="89">
        <v>1.3234876963197459</v>
      </c>
      <c r="E13">
        <v>1.7908299999999999</v>
      </c>
    </row>
    <row r="14" spans="1:5">
      <c r="A14" s="98">
        <v>16.969784848484849</v>
      </c>
      <c r="B14">
        <v>1.58342</v>
      </c>
      <c r="C14">
        <v>1.8909499999999999</v>
      </c>
      <c r="D14" s="89">
        <v>1.3875791912762601</v>
      </c>
      <c r="E14">
        <v>1.90459</v>
      </c>
    </row>
    <row r="15" spans="1:5">
      <c r="A15" s="98">
        <v>18.383925252525248</v>
      </c>
      <c r="B15">
        <v>1.67022</v>
      </c>
      <c r="C15">
        <v>2.0179200000000002</v>
      </c>
      <c r="D15" s="89">
        <v>1.453369612187823</v>
      </c>
      <c r="E15">
        <v>2.0201899999999999</v>
      </c>
    </row>
    <row r="16" spans="1:5">
      <c r="A16" s="98">
        <v>19.798065656565662</v>
      </c>
      <c r="B16">
        <v>1.7594799999999999</v>
      </c>
      <c r="C16">
        <v>2.1480199999999998</v>
      </c>
      <c r="D16" s="89">
        <v>1.5207692734622551</v>
      </c>
      <c r="E16">
        <v>2.13733</v>
      </c>
    </row>
    <row r="17" spans="1:5">
      <c r="A17" s="98">
        <v>21.212206060606061</v>
      </c>
      <c r="B17">
        <v>1.8508100000000001</v>
      </c>
      <c r="C17">
        <v>2.2806600000000001</v>
      </c>
      <c r="D17" s="89">
        <v>1.58956040189258</v>
      </c>
      <c r="E17">
        <v>2.2556799999999999</v>
      </c>
    </row>
    <row r="18" spans="1:5">
      <c r="A18" s="98">
        <v>22.62634646464647</v>
      </c>
      <c r="B18">
        <v>1.9437899999999999</v>
      </c>
      <c r="C18">
        <v>2.4153099999999998</v>
      </c>
      <c r="D18" s="89">
        <v>1.6595541844884889</v>
      </c>
      <c r="E18">
        <v>2.3749400000000001</v>
      </c>
    </row>
    <row r="19" spans="1:5">
      <c r="A19" s="98">
        <v>24.04048686868687</v>
      </c>
      <c r="B19">
        <v>2.0380600000000002</v>
      </c>
      <c r="C19">
        <v>2.5515099999999999</v>
      </c>
      <c r="D19" s="89">
        <v>1.73056005819331</v>
      </c>
      <c r="E19">
        <v>2.4948399999999999</v>
      </c>
    </row>
    <row r="20" spans="1:5">
      <c r="A20" s="98">
        <v>25.454627272727269</v>
      </c>
      <c r="B20">
        <v>2.1333000000000002</v>
      </c>
      <c r="C20">
        <v>2.6888399999999999</v>
      </c>
      <c r="D20" s="89">
        <v>1.8024048598163469</v>
      </c>
      <c r="E20">
        <v>2.6151399999999998</v>
      </c>
    </row>
    <row r="21" spans="1:5">
      <c r="A21" s="98">
        <v>26.868767676767678</v>
      </c>
      <c r="B21">
        <v>2.2292100000000001</v>
      </c>
      <c r="C21">
        <v>2.8269500000000001</v>
      </c>
      <c r="D21" s="89">
        <v>1.8748801061468301</v>
      </c>
      <c r="E21">
        <v>2.7359200000000001</v>
      </c>
    </row>
    <row r="22" spans="1:5">
      <c r="A22" s="98">
        <v>28.282908080808081</v>
      </c>
      <c r="B22">
        <v>2.3255599999999998</v>
      </c>
      <c r="C22">
        <v>2.9655300000000002</v>
      </c>
      <c r="D22" s="89">
        <v>1.947818735194927</v>
      </c>
      <c r="E22">
        <v>2.8624999999999998</v>
      </c>
    </row>
    <row r="23" spans="1:5">
      <c r="A23" s="98">
        <v>29.69704848484848</v>
      </c>
      <c r="B23">
        <v>2.4220999999999999</v>
      </c>
      <c r="C23">
        <v>3.1042999999999998</v>
      </c>
      <c r="D23" s="89">
        <v>2.0210918488684748</v>
      </c>
      <c r="E23">
        <v>2.9857353333333299</v>
      </c>
    </row>
    <row r="24" spans="1:5">
      <c r="A24" s="98">
        <v>31.11118888888889</v>
      </c>
      <c r="B24">
        <v>2.51864</v>
      </c>
      <c r="C24">
        <v>3.2430300000000001</v>
      </c>
      <c r="D24" s="89">
        <v>2.094567229972371</v>
      </c>
      <c r="E24">
        <v>3.1079553333333299</v>
      </c>
    </row>
    <row r="25" spans="1:5">
      <c r="A25" s="98">
        <v>32.525329292929293</v>
      </c>
      <c r="B25">
        <v>2.6150099999999998</v>
      </c>
      <c r="C25">
        <v>3.3815200000000001</v>
      </c>
      <c r="D25" s="89">
        <v>2.1681086492305588</v>
      </c>
      <c r="E25">
        <v>3.2291306666666602</v>
      </c>
    </row>
    <row r="26" spans="1:5">
      <c r="A26" s="98">
        <v>33.939469696969702</v>
      </c>
      <c r="B26">
        <v>2.7110599999999998</v>
      </c>
      <c r="C26">
        <v>3.51959</v>
      </c>
      <c r="D26" s="89">
        <v>2.2422800842335731</v>
      </c>
      <c r="E26">
        <v>3.349237</v>
      </c>
    </row>
    <row r="27" spans="1:5">
      <c r="A27" s="98">
        <v>35.353610101010098</v>
      </c>
      <c r="B27">
        <v>2.8067600000000001</v>
      </c>
      <c r="C27">
        <v>3.6571199999999999</v>
      </c>
      <c r="D27" s="89">
        <v>2.3156311990230849</v>
      </c>
      <c r="E27">
        <v>3.4683023333333298</v>
      </c>
    </row>
    <row r="28" spans="1:5">
      <c r="A28" s="98">
        <v>36.767750505050508</v>
      </c>
      <c r="B28">
        <v>2.9018799999999998</v>
      </c>
      <c r="C28">
        <v>3.7939500000000002</v>
      </c>
      <c r="D28" s="89">
        <v>2.3887897088595098</v>
      </c>
      <c r="E28">
        <v>3.5862949999999998</v>
      </c>
    </row>
    <row r="29" spans="1:5">
      <c r="A29" s="98">
        <v>38.18189090909091</v>
      </c>
      <c r="B29">
        <v>2.9963199999999999</v>
      </c>
      <c r="C29">
        <v>3.9299599999999999</v>
      </c>
      <c r="D29" s="89">
        <v>2.461012815117265</v>
      </c>
      <c r="E29">
        <v>3.70322366666666</v>
      </c>
    </row>
    <row r="30" spans="1:5">
      <c r="A30" s="98">
        <v>39.59603131313132</v>
      </c>
      <c r="B30">
        <v>3.0900799999999999</v>
      </c>
      <c r="C30">
        <v>4.0650899999999996</v>
      </c>
      <c r="D30" s="89">
        <v>2.5334212990570122</v>
      </c>
      <c r="E30">
        <v>3.8191563333333298</v>
      </c>
    </row>
    <row r="31" spans="1:5">
      <c r="A31" s="98">
        <v>41.010171717171723</v>
      </c>
      <c r="B31">
        <v>3.1831299999999998</v>
      </c>
      <c r="C31">
        <v>4.1992599999999998</v>
      </c>
      <c r="D31" s="89">
        <v>2.6055824852517411</v>
      </c>
      <c r="E31">
        <v>3.9330816666666601</v>
      </c>
    </row>
    <row r="32" spans="1:5">
      <c r="A32" s="98">
        <v>42.424312121212118</v>
      </c>
      <c r="B32">
        <v>3.2752300000000001</v>
      </c>
      <c r="C32">
        <v>4.3323400000000003</v>
      </c>
      <c r="D32" s="89">
        <v>2.6776325369252421</v>
      </c>
      <c r="E32">
        <v>4.0449216666666601</v>
      </c>
    </row>
    <row r="33" spans="1:5">
      <c r="A33" s="98">
        <v>43.838452525252528</v>
      </c>
      <c r="B33">
        <v>3.3665500000000002</v>
      </c>
      <c r="C33">
        <v>4.4643499999999996</v>
      </c>
      <c r="D33" s="89">
        <v>2.7485388666028912</v>
      </c>
      <c r="E33">
        <v>4.1547466666666599</v>
      </c>
    </row>
    <row r="34" spans="1:5">
      <c r="A34" s="98">
        <v>45.252592929292931</v>
      </c>
      <c r="B34">
        <v>3.4569399999999999</v>
      </c>
      <c r="C34">
        <v>4.5952000000000002</v>
      </c>
      <c r="D34" s="89">
        <v>2.8195225616618642</v>
      </c>
      <c r="E34">
        <v>4.2621989999999998</v>
      </c>
    </row>
    <row r="35" spans="1:5">
      <c r="A35" s="98">
        <v>46.666733333333333</v>
      </c>
      <c r="B35">
        <v>3.5462699999999998</v>
      </c>
      <c r="C35">
        <v>4.7248099999999997</v>
      </c>
      <c r="D35" s="89">
        <v>2.8897253614824132</v>
      </c>
      <c r="E35">
        <v>4.3672263333333303</v>
      </c>
    </row>
    <row r="36" spans="1:5">
      <c r="A36" s="98">
        <v>48.080873737373743</v>
      </c>
      <c r="B36">
        <v>3.6348199999999999</v>
      </c>
      <c r="C36">
        <v>4.8532799999999998</v>
      </c>
      <c r="D36" s="89">
        <v>2.9595408824144069</v>
      </c>
      <c r="E36">
        <v>4.4699260000000001</v>
      </c>
    </row>
    <row r="37" spans="1:5">
      <c r="A37" s="98">
        <v>49.495014141414153</v>
      </c>
      <c r="B37">
        <v>3.7221600000000001</v>
      </c>
      <c r="C37">
        <v>4.9803899999999999</v>
      </c>
      <c r="D37" s="89">
        <v>3.0287633060545329</v>
      </c>
      <c r="E37">
        <v>4.5700996666666596</v>
      </c>
    </row>
    <row r="38" spans="1:5">
      <c r="A38" s="98">
        <v>50.909154545454541</v>
      </c>
      <c r="B38">
        <v>3.80871</v>
      </c>
      <c r="C38">
        <v>5.1063299999999998</v>
      </c>
      <c r="D38" s="89">
        <v>3.0974813322139458</v>
      </c>
      <c r="E38">
        <v>4.6699806666666603</v>
      </c>
    </row>
    <row r="39" spans="1:5">
      <c r="A39" s="98">
        <v>52.323294949494951</v>
      </c>
      <c r="B39">
        <v>3.8940399999999999</v>
      </c>
      <c r="C39">
        <v>5.23088</v>
      </c>
      <c r="D39" s="89">
        <v>3.1658240591246121</v>
      </c>
      <c r="E39">
        <v>4.76732466666666</v>
      </c>
    </row>
    <row r="40" spans="1:5">
      <c r="A40" s="98">
        <v>53.737435353535353</v>
      </c>
      <c r="B40">
        <v>3.9785200000000001</v>
      </c>
      <c r="C40">
        <v>5.3542100000000001</v>
      </c>
      <c r="D40" s="89">
        <v>3.2336124035193241</v>
      </c>
      <c r="E40">
        <v>4.8622596666666604</v>
      </c>
    </row>
    <row r="41" spans="1:5">
      <c r="A41" s="98">
        <v>55.151575757575763</v>
      </c>
      <c r="B41">
        <v>4.0617700000000001</v>
      </c>
      <c r="C41">
        <v>5.4761199999999999</v>
      </c>
      <c r="D41" s="89">
        <v>3.3009835944465502</v>
      </c>
      <c r="E41">
        <v>4.9555986666666598</v>
      </c>
    </row>
    <row r="42" spans="1:5">
      <c r="A42" s="98">
        <v>56.565716161616173</v>
      </c>
      <c r="B42">
        <v>4.1441999999999997</v>
      </c>
      <c r="C42">
        <v>5.5968099999999996</v>
      </c>
      <c r="D42" s="89">
        <v>3.3678072069398111</v>
      </c>
      <c r="E42">
        <v>5.0475346666666603</v>
      </c>
    </row>
    <row r="43" spans="1:5">
      <c r="A43" s="98">
        <v>57.979856565656569</v>
      </c>
      <c r="B43">
        <v>4.2253299999999996</v>
      </c>
      <c r="C43">
        <v>5.7160399999999996</v>
      </c>
      <c r="D43" s="89">
        <v>3.4343703553051901</v>
      </c>
      <c r="E43">
        <v>5.1378329999999997</v>
      </c>
    </row>
    <row r="44" spans="1:5">
      <c r="A44" s="98">
        <v>59.393996969696971</v>
      </c>
      <c r="B44">
        <v>4.30572</v>
      </c>
      <c r="C44">
        <v>5.8341000000000003</v>
      </c>
      <c r="D44" s="89">
        <v>3.5003229990207552</v>
      </c>
      <c r="E44">
        <v>5.2270893333333301</v>
      </c>
    </row>
    <row r="45" spans="1:5">
      <c r="A45" s="98">
        <v>60.808137373737367</v>
      </c>
      <c r="B45">
        <v>4.3848099999999999</v>
      </c>
      <c r="C45">
        <v>5.9506899999999998</v>
      </c>
      <c r="D45" s="89">
        <v>3.566306697142128</v>
      </c>
      <c r="E45">
        <v>5.3149953333333304</v>
      </c>
    </row>
    <row r="46" spans="1:5">
      <c r="A46" s="98">
        <v>62.222277777777776</v>
      </c>
      <c r="B46">
        <v>4.4630999999999998</v>
      </c>
      <c r="C46">
        <v>6.0660800000000004</v>
      </c>
      <c r="D46" s="89">
        <v>3.6322713092929391</v>
      </c>
      <c r="E46">
        <v>5.4018403333333298</v>
      </c>
    </row>
    <row r="47" spans="1:5">
      <c r="A47" s="98">
        <v>63.636418181818193</v>
      </c>
      <c r="B47">
        <v>4.5402199999999997</v>
      </c>
      <c r="C47">
        <v>6.1800600000000001</v>
      </c>
      <c r="D47" s="89">
        <v>3.6981204903139759</v>
      </c>
      <c r="E47">
        <v>5.4873843333333303</v>
      </c>
    </row>
    <row r="48" spans="1:5">
      <c r="A48" s="98">
        <v>65.050558585858596</v>
      </c>
      <c r="B48">
        <v>4.6163499999999997</v>
      </c>
      <c r="C48">
        <v>6.2927400000000002</v>
      </c>
      <c r="D48" s="89">
        <v>3.7641118717597339</v>
      </c>
      <c r="E48">
        <v>5.5717253333333296</v>
      </c>
    </row>
    <row r="49" spans="1:5">
      <c r="A49" s="98">
        <v>66.464698989898991</v>
      </c>
      <c r="B49">
        <v>4.6915699999999996</v>
      </c>
      <c r="C49">
        <v>6.4041600000000001</v>
      </c>
      <c r="D49" s="89">
        <v>3.8306635786327869</v>
      </c>
      <c r="E49">
        <v>5.6548893333333297</v>
      </c>
    </row>
    <row r="50" spans="1:5">
      <c r="A50" s="98">
        <v>67.878839393939387</v>
      </c>
      <c r="B50">
        <v>4.7655399999999997</v>
      </c>
      <c r="C50">
        <v>6.5149800000000004</v>
      </c>
      <c r="D50" s="89">
        <v>3.8981160493073661</v>
      </c>
      <c r="E50">
        <v>5.7375239999999996</v>
      </c>
    </row>
    <row r="51" spans="1:5">
      <c r="A51" s="98">
        <v>69.292979797979797</v>
      </c>
      <c r="B51">
        <v>4.8388799999999996</v>
      </c>
      <c r="C51">
        <v>6.6239299999999997</v>
      </c>
      <c r="D51" s="89">
        <v>3.9669772141624948</v>
      </c>
      <c r="E51">
        <v>5.8183453333333297</v>
      </c>
    </row>
    <row r="52" spans="1:5">
      <c r="A52" s="98">
        <v>70.707120202020207</v>
      </c>
      <c r="B52">
        <v>4.9110399999999998</v>
      </c>
      <c r="C52">
        <v>6.7313200000000002</v>
      </c>
      <c r="D52" s="89">
        <v>4.0096457314485603</v>
      </c>
      <c r="E52">
        <v>5.8976363333333301</v>
      </c>
    </row>
    <row r="53" spans="1:5">
      <c r="A53" s="98">
        <v>72.121260606060602</v>
      </c>
      <c r="B53">
        <v>4.9821999999999997</v>
      </c>
      <c r="C53">
        <v>6.8376700000000001</v>
      </c>
      <c r="D53" s="89">
        <v>4.0747291895481403</v>
      </c>
      <c r="E53">
        <v>5.9758969999999998</v>
      </c>
    </row>
    <row r="54" spans="1:5">
      <c r="A54" s="98">
        <v>73.535401010101012</v>
      </c>
      <c r="B54">
        <v>5.0526099999999996</v>
      </c>
      <c r="C54">
        <v>6.9426800000000002</v>
      </c>
      <c r="D54" s="89">
        <v>4.1385023084400636</v>
      </c>
      <c r="E54">
        <v>6.0528083333333296</v>
      </c>
    </row>
    <row r="55" spans="1:5">
      <c r="A55" s="98">
        <v>74.949541414141422</v>
      </c>
      <c r="B55">
        <v>5.1218599999999999</v>
      </c>
      <c r="C55">
        <v>7.0463300000000002</v>
      </c>
      <c r="D55" s="89">
        <v>4.200834687546922</v>
      </c>
      <c r="E55">
        <v>6.1283050000000001</v>
      </c>
    </row>
    <row r="56" spans="1:5">
      <c r="A56" s="98">
        <v>76.363681818181817</v>
      </c>
      <c r="B56">
        <v>5.1902900000000001</v>
      </c>
      <c r="C56">
        <v>7.1490099999999996</v>
      </c>
      <c r="D56" s="89">
        <v>4.2616130861469248</v>
      </c>
      <c r="E56">
        <v>6.2027293333333304</v>
      </c>
    </row>
    <row r="57" spans="1:5">
      <c r="A57" s="98">
        <v>77.777822222222227</v>
      </c>
      <c r="B57">
        <v>5.2579000000000002</v>
      </c>
      <c r="C57">
        <v>7.2503399999999996</v>
      </c>
      <c r="D57" s="89">
        <v>4.3206250540237194</v>
      </c>
      <c r="E57">
        <v>6.2756403333333299</v>
      </c>
    </row>
    <row r="58" spans="1:5">
      <c r="A58" s="98">
        <v>79.191962626262637</v>
      </c>
      <c r="B58">
        <v>5.3243999999999998</v>
      </c>
      <c r="C58">
        <v>7.3503400000000001</v>
      </c>
      <c r="D58" s="89">
        <v>4.3775103301374667</v>
      </c>
      <c r="E58">
        <v>6.34697333333333</v>
      </c>
    </row>
    <row r="59" spans="1:5">
      <c r="A59" s="98">
        <v>80.606103030303046</v>
      </c>
      <c r="B59">
        <v>5.3921000000000001</v>
      </c>
      <c r="C59">
        <v>7.4492000000000003</v>
      </c>
      <c r="D59" s="89">
        <v>4.4318260805966352</v>
      </c>
      <c r="E59">
        <v>6.4167396666666603</v>
      </c>
    </row>
    <row r="60" spans="1:5">
      <c r="A60" s="98">
        <v>82.020243434343428</v>
      </c>
      <c r="B60">
        <v>5.45702</v>
      </c>
      <c r="C60">
        <v>7.5461900000000002</v>
      </c>
      <c r="D60" s="89">
        <v>4.4827886911100139</v>
      </c>
      <c r="E60">
        <v>6.4843373333333298</v>
      </c>
    </row>
    <row r="61" spans="1:5">
      <c r="A61" s="98">
        <v>83.434383838383837</v>
      </c>
      <c r="B61">
        <v>5.5208399999999997</v>
      </c>
      <c r="C61">
        <v>7.6427300000000002</v>
      </c>
      <c r="D61" s="89">
        <v>4.5287468202259209</v>
      </c>
      <c r="E61">
        <v>6.55220966666666</v>
      </c>
    </row>
    <row r="62" spans="1:5">
      <c r="A62" s="98">
        <v>84.848524242424247</v>
      </c>
      <c r="B62">
        <v>5.5839699999999999</v>
      </c>
      <c r="C62">
        <v>7.7381099999999998</v>
      </c>
      <c r="D62" s="89">
        <v>4.5794986698305173</v>
      </c>
      <c r="E62">
        <v>6.6196799999999998</v>
      </c>
    </row>
    <row r="63" spans="1:5">
      <c r="A63" s="98">
        <v>86.262664646464643</v>
      </c>
      <c r="B63">
        <v>5.6464800000000004</v>
      </c>
      <c r="C63">
        <v>7.8324800000000003</v>
      </c>
      <c r="D63" s="89">
        <v>4.6296247108191411</v>
      </c>
      <c r="E63">
        <v>6.6869079999999999</v>
      </c>
    </row>
    <row r="64" spans="1:5">
      <c r="A64" s="98">
        <v>87.676805050505052</v>
      </c>
      <c r="B64">
        <v>5.7061999999999999</v>
      </c>
      <c r="C64">
        <v>7.9257</v>
      </c>
      <c r="D64" s="89">
        <v>4.6791528234578834</v>
      </c>
      <c r="E64">
        <v>6.7540940000000003</v>
      </c>
    </row>
    <row r="65" spans="1:5">
      <c r="A65" s="98">
        <v>89.090945454545462</v>
      </c>
      <c r="B65">
        <v>5.7669499999999996</v>
      </c>
      <c r="C65">
        <v>8.01769</v>
      </c>
      <c r="D65" s="89">
        <v>4.7280814573545458</v>
      </c>
      <c r="E65">
        <v>6.8211953333333302</v>
      </c>
    </row>
    <row r="66" spans="1:5">
      <c r="A66" s="98">
        <v>90.505085858585858</v>
      </c>
      <c r="B66">
        <v>5.8271800000000002</v>
      </c>
      <c r="C66">
        <v>8.10886</v>
      </c>
      <c r="D66" s="89">
        <v>4.7763751726458414</v>
      </c>
      <c r="E66">
        <v>6.8887003333333299</v>
      </c>
    </row>
    <row r="67" spans="1:5">
      <c r="A67" s="98">
        <v>91.919226262626267</v>
      </c>
      <c r="B67">
        <v>5.8864099999999997</v>
      </c>
      <c r="C67">
        <v>8.1987699999999997</v>
      </c>
      <c r="D67" s="89">
        <v>4.8240989198141513</v>
      </c>
      <c r="E67">
        <v>6.9561986666666602</v>
      </c>
    </row>
    <row r="68" spans="1:5">
      <c r="A68" s="98">
        <v>93.333366666666677</v>
      </c>
      <c r="B68">
        <v>5.9446399999999997</v>
      </c>
      <c r="C68">
        <v>8.2874300000000005</v>
      </c>
      <c r="D68" s="89">
        <v>4.8713133881355768</v>
      </c>
      <c r="E68">
        <v>7.0251136666666598</v>
      </c>
    </row>
    <row r="69" spans="1:5">
      <c r="A69" s="98">
        <v>94.747507070707073</v>
      </c>
      <c r="B69">
        <v>6.0022700000000002</v>
      </c>
      <c r="C69">
        <v>8.3752499999999994</v>
      </c>
      <c r="D69" s="89">
        <v>4.9180208803639927</v>
      </c>
      <c r="E69">
        <v>7.0945463333333301</v>
      </c>
    </row>
    <row r="70" spans="1:5">
      <c r="A70" s="98">
        <v>96.161647474747483</v>
      </c>
      <c r="B70">
        <v>6.0593399999999997</v>
      </c>
      <c r="C70">
        <v>8.4621399999999998</v>
      </c>
      <c r="D70" s="89">
        <v>4.9641744400584882</v>
      </c>
      <c r="E70">
        <v>7.1644426666666599</v>
      </c>
    </row>
    <row r="71" spans="1:5">
      <c r="A71" s="98">
        <v>97.575787878787892</v>
      </c>
      <c r="B71">
        <v>6.1154799999999998</v>
      </c>
      <c r="C71">
        <v>8.5479099999999999</v>
      </c>
      <c r="D71" s="89">
        <v>5.0098502889820624</v>
      </c>
      <c r="E71">
        <v>7.2336096666666601</v>
      </c>
    </row>
    <row r="72" spans="1:5">
      <c r="A72" s="98">
        <v>98.989928282828288</v>
      </c>
      <c r="B72">
        <v>6.1708299999999996</v>
      </c>
      <c r="C72">
        <v>8.6326300000000007</v>
      </c>
      <c r="D72" s="89">
        <v>5.0550840894923423</v>
      </c>
      <c r="E72">
        <v>7.3020880000000004</v>
      </c>
    </row>
    <row r="73" spans="1:5">
      <c r="A73" s="98">
        <v>100.4040686868687</v>
      </c>
      <c r="B73">
        <v>6.2259500000000001</v>
      </c>
      <c r="C73">
        <v>8.7165700000000008</v>
      </c>
      <c r="D73" s="89">
        <v>5.0998771893420107</v>
      </c>
      <c r="E73">
        <v>7.3701413333333301</v>
      </c>
    </row>
    <row r="74" spans="1:5">
      <c r="A74" s="98">
        <v>101.81820909090909</v>
      </c>
      <c r="B74">
        <v>6.2801600000000004</v>
      </c>
      <c r="C74">
        <v>8.7996200000000009</v>
      </c>
      <c r="D74" s="89">
        <v>5.1442672653097201</v>
      </c>
      <c r="E74">
        <v>7.43735066666666</v>
      </c>
    </row>
    <row r="75" spans="1:5">
      <c r="A75" s="98">
        <v>103.2323494949495</v>
      </c>
      <c r="B75">
        <v>6.3336800000000002</v>
      </c>
      <c r="C75">
        <v>8.88157</v>
      </c>
      <c r="D75" s="89">
        <v>5.1883792160762088</v>
      </c>
      <c r="E75">
        <v>7.5035123333333296</v>
      </c>
    </row>
    <row r="76" spans="1:5">
      <c r="A76" s="98">
        <v>104.6464898989899</v>
      </c>
      <c r="B76">
        <v>6.3865800000000004</v>
      </c>
      <c r="C76">
        <v>8.9623600000000003</v>
      </c>
      <c r="D76" s="89">
        <v>5.2322945085400452</v>
      </c>
      <c r="E76">
        <v>7.5685086666666601</v>
      </c>
    </row>
    <row r="77" spans="1:5">
      <c r="A77" s="98">
        <v>106.06063030303029</v>
      </c>
      <c r="B77">
        <v>6.4393900000000004</v>
      </c>
      <c r="C77">
        <v>9.0425299999999993</v>
      </c>
      <c r="D77" s="89">
        <v>5.2760896580012577</v>
      </c>
      <c r="E77">
        <v>7.6328823333333302</v>
      </c>
    </row>
    <row r="78" spans="1:5">
      <c r="A78" s="98">
        <v>107.4747707070707</v>
      </c>
      <c r="B78">
        <v>6.4913299999999996</v>
      </c>
      <c r="C78">
        <v>9.1216500000000007</v>
      </c>
      <c r="D78" s="89">
        <v>5.3153936093753282</v>
      </c>
      <c r="E78">
        <v>7.6961856666666604</v>
      </c>
    </row>
    <row r="79" spans="1:5">
      <c r="A79" s="98">
        <v>108.8889111111111</v>
      </c>
      <c r="B79">
        <v>6.5424199999999999</v>
      </c>
      <c r="C79">
        <v>9.1999700000000004</v>
      </c>
      <c r="D79" s="89">
        <v>5.3549721950977149</v>
      </c>
      <c r="E79">
        <v>7.7586686666666598</v>
      </c>
    </row>
    <row r="80" spans="1:5">
      <c r="A80" s="98">
        <v>110.30305151515149</v>
      </c>
      <c r="B80">
        <v>6.5926400000000003</v>
      </c>
      <c r="C80">
        <v>9.2772799999999993</v>
      </c>
      <c r="D80" s="89">
        <v>5.3951981022720696</v>
      </c>
      <c r="E80">
        <v>7.8200890000000003</v>
      </c>
    </row>
    <row r="81" spans="1:5">
      <c r="A81" s="98">
        <v>111.7171919191919</v>
      </c>
      <c r="B81">
        <v>6.6424099999999999</v>
      </c>
      <c r="C81">
        <v>9.3542100000000001</v>
      </c>
      <c r="D81" s="89">
        <v>5.4368442774051999</v>
      </c>
      <c r="E81">
        <v>7.8810213333333303</v>
      </c>
    </row>
    <row r="82" spans="1:5">
      <c r="A82" s="98">
        <v>113.1313323232323</v>
      </c>
      <c r="B82">
        <v>6.6924400000000004</v>
      </c>
      <c r="C82">
        <v>9.4303000000000008</v>
      </c>
      <c r="D82" s="89">
        <v>5.4820646043502279</v>
      </c>
      <c r="E82">
        <v>7.9409460000000003</v>
      </c>
    </row>
    <row r="83" spans="1:5">
      <c r="A83" s="98">
        <v>114.5454727272727</v>
      </c>
      <c r="B83">
        <v>6.7416999999999998</v>
      </c>
      <c r="C83">
        <v>9.5053999999999998</v>
      </c>
      <c r="D83" s="89">
        <v>5.5229742252043206</v>
      </c>
      <c r="E83">
        <v>7.9996200000000002</v>
      </c>
    </row>
    <row r="84" spans="1:5">
      <c r="A84" s="98">
        <v>115.95961313131311</v>
      </c>
      <c r="B84">
        <v>6.7907999999999999</v>
      </c>
      <c r="C84">
        <v>9.57972</v>
      </c>
      <c r="D84" s="89">
        <v>5.5631060828613226</v>
      </c>
      <c r="E84">
        <v>8.0616090000000007</v>
      </c>
    </row>
    <row r="85" spans="1:5">
      <c r="A85" s="98">
        <v>117.3737535353535</v>
      </c>
      <c r="B85">
        <v>6.8388999999999998</v>
      </c>
      <c r="C85">
        <v>9.6529900000000008</v>
      </c>
      <c r="D85" s="89">
        <v>5.6023300611609086</v>
      </c>
      <c r="E85">
        <v>8.1220789999999994</v>
      </c>
    </row>
    <row r="86" spans="1:5">
      <c r="A86" s="98">
        <v>118.7878939393939</v>
      </c>
      <c r="B86">
        <v>6.8864599999999996</v>
      </c>
      <c r="C86">
        <v>9.7262799999999991</v>
      </c>
      <c r="D86" s="89">
        <v>5.6405318131878239</v>
      </c>
      <c r="E86">
        <v>8.1814490000000006</v>
      </c>
    </row>
    <row r="87" spans="1:5">
      <c r="A87" s="98">
        <v>120.20203434343431</v>
      </c>
      <c r="B87">
        <v>6.9334800000000003</v>
      </c>
      <c r="C87">
        <v>9.7986299999999993</v>
      </c>
      <c r="D87" s="89">
        <v>5.6776053017678638</v>
      </c>
      <c r="E87">
        <v>8.2397989999999997</v>
      </c>
    </row>
    <row r="88" spans="1:5">
      <c r="A88" s="98">
        <v>121.6161747474747</v>
      </c>
      <c r="B88">
        <v>6.98055</v>
      </c>
      <c r="C88">
        <v>9.8705099999999995</v>
      </c>
      <c r="D88" s="89">
        <v>5.7179413217594659</v>
      </c>
      <c r="E88">
        <v>8.2976290000000006</v>
      </c>
    </row>
    <row r="89" spans="1:5">
      <c r="A89" s="98">
        <v>123.0303151515152</v>
      </c>
      <c r="B89">
        <v>7.0272100000000002</v>
      </c>
      <c r="C89">
        <v>9.9414400000000001</v>
      </c>
      <c r="D89" s="89">
        <v>5.7567685127260866</v>
      </c>
      <c r="E89">
        <v>8.3545590000000001</v>
      </c>
    </row>
    <row r="90" spans="1:5">
      <c r="A90" s="98">
        <v>124.44445555555561</v>
      </c>
      <c r="B90">
        <v>7.0732600000000003</v>
      </c>
      <c r="C90">
        <v>10.0124</v>
      </c>
      <c r="D90" s="89">
        <v>5.793721925533184</v>
      </c>
      <c r="E90">
        <v>8.4104290000000006</v>
      </c>
    </row>
    <row r="91" spans="1:5">
      <c r="A91" s="98">
        <v>125.858595959596</v>
      </c>
      <c r="B91">
        <v>7.1199399999999997</v>
      </c>
      <c r="C91">
        <v>10.0831</v>
      </c>
      <c r="D91" s="89">
        <v>5.8280083521283998</v>
      </c>
      <c r="E91">
        <v>8.4653189999999991</v>
      </c>
    </row>
    <row r="92" spans="1:5">
      <c r="A92" s="98">
        <v>127.2727363636364</v>
      </c>
      <c r="B92">
        <v>7.1656000000000004</v>
      </c>
      <c r="C92">
        <v>10.1534</v>
      </c>
      <c r="D92" s="89">
        <v>5.8756460591416868</v>
      </c>
      <c r="E92">
        <v>8.5191389999999991</v>
      </c>
    </row>
    <row r="93" spans="1:5">
      <c r="A93" s="98">
        <v>128.68687676767681</v>
      </c>
      <c r="B93">
        <v>7.2109800000000002</v>
      </c>
      <c r="C93">
        <v>10.2234</v>
      </c>
      <c r="D93" s="89">
        <v>5.907727084100717</v>
      </c>
      <c r="E93">
        <v>8.5723789999999997</v>
      </c>
    </row>
    <row r="94" spans="1:5">
      <c r="A94" s="98">
        <v>130.10101717171719</v>
      </c>
      <c r="B94">
        <v>7.2562499999999996</v>
      </c>
      <c r="C94">
        <v>10.2936</v>
      </c>
      <c r="D94" s="89">
        <v>5.9393713854653818</v>
      </c>
      <c r="E94">
        <v>8.6246690000000008</v>
      </c>
    </row>
    <row r="95" spans="1:5">
      <c r="A95" s="98">
        <v>131.5151575757576</v>
      </c>
      <c r="B95">
        <v>7.3019100000000003</v>
      </c>
      <c r="C95">
        <v>10.364599999999999</v>
      </c>
      <c r="D95" s="89">
        <v>5.9708487153128083</v>
      </c>
      <c r="E95">
        <v>8.675929</v>
      </c>
    </row>
    <row r="96" spans="1:5">
      <c r="A96" s="98">
        <v>132.92929797979801</v>
      </c>
      <c r="B96">
        <v>7.3468299999999997</v>
      </c>
      <c r="C96">
        <v>10.4368</v>
      </c>
      <c r="D96" s="89">
        <v>6.0012749721427117</v>
      </c>
      <c r="E96">
        <v>8.725949</v>
      </c>
    </row>
    <row r="97" spans="1:5">
      <c r="A97" s="98">
        <v>134.34343838383839</v>
      </c>
      <c r="B97">
        <v>7.3924899999999996</v>
      </c>
      <c r="C97">
        <v>10.5108</v>
      </c>
      <c r="D97" s="89">
        <v>6.0309214009424714</v>
      </c>
      <c r="E97">
        <v>8.7747390000000003</v>
      </c>
    </row>
    <row r="98" spans="1:5">
      <c r="A98" s="98">
        <v>135.7575787878788</v>
      </c>
      <c r="B98">
        <v>7.4384600000000001</v>
      </c>
      <c r="C98">
        <v>10.588200000000001</v>
      </c>
      <c r="D98" s="89">
        <v>6.0610766404721339</v>
      </c>
      <c r="E98">
        <v>8.8233189999999997</v>
      </c>
    </row>
    <row r="99" spans="1:5">
      <c r="A99" s="98">
        <v>137.17171919191921</v>
      </c>
      <c r="B99">
        <v>7.4832999999999998</v>
      </c>
      <c r="C99">
        <v>10.6738</v>
      </c>
      <c r="D99" s="89">
        <v>6.0905864309167974</v>
      </c>
      <c r="E99">
        <v>8.8705289999999994</v>
      </c>
    </row>
    <row r="100" spans="1:5">
      <c r="A100" s="98">
        <v>138.58585959595959</v>
      </c>
      <c r="B100">
        <v>7.5291600000000001</v>
      </c>
      <c r="C100">
        <v>10.7844</v>
      </c>
      <c r="D100" s="89">
        <v>6.1187637872977092</v>
      </c>
      <c r="E100">
        <v>8.9163490000000003</v>
      </c>
    </row>
    <row r="101" spans="1:5">
      <c r="A101" s="98">
        <v>140</v>
      </c>
      <c r="B101">
        <v>7.5766499999999999</v>
      </c>
      <c r="C101">
        <v>10.9</v>
      </c>
      <c r="D101" s="89">
        <v>6.1473822297545908</v>
      </c>
      <c r="E101">
        <v>8.9609389999999998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AC73"/>
  <sheetViews>
    <sheetView zoomScale="71" zoomScaleNormal="71" workbookViewId="0">
      <selection activeCell="J34" sqref="J34"/>
    </sheetView>
  </sheetViews>
  <sheetFormatPr baseColWidth="10" defaultRowHeight="16"/>
  <sheetData>
    <row r="1" spans="1:29" s="66" customFormat="1">
      <c r="A1" s="66" t="s">
        <v>411</v>
      </c>
      <c r="F1" s="66" t="s">
        <v>412</v>
      </c>
    </row>
    <row r="2" spans="1:29" s="1" customFormat="1">
      <c r="A2" s="1" t="s">
        <v>3</v>
      </c>
      <c r="B2" s="1" t="s">
        <v>4</v>
      </c>
      <c r="C2" t="s">
        <v>5</v>
      </c>
      <c r="D2" t="s">
        <v>6</v>
      </c>
      <c r="E2" t="s">
        <v>7</v>
      </c>
      <c r="F2" t="s">
        <v>8</v>
      </c>
      <c r="G2" s="1" t="s">
        <v>9</v>
      </c>
      <c r="I2" s="1" t="s">
        <v>10</v>
      </c>
      <c r="J2" s="1" t="s">
        <v>11</v>
      </c>
      <c r="K2" s="1" t="s">
        <v>97</v>
      </c>
      <c r="L2" s="1" t="s">
        <v>98</v>
      </c>
      <c r="N2" s="1" t="s">
        <v>6</v>
      </c>
    </row>
    <row r="3" spans="1:29" s="1" customFormat="1">
      <c r="A3" s="1">
        <v>0</v>
      </c>
      <c r="B3" s="1">
        <v>0</v>
      </c>
      <c r="C3">
        <v>0</v>
      </c>
      <c r="D3">
        <v>32</v>
      </c>
      <c r="E3">
        <v>0</v>
      </c>
      <c r="F3">
        <v>32</v>
      </c>
      <c r="J3" s="4">
        <f>D3*72/G4</f>
        <v>1.0020876826722338</v>
      </c>
      <c r="K3" s="1">
        <f>A3/2*18/G4</f>
        <v>0</v>
      </c>
      <c r="L3" s="1">
        <f>B3*(12+32)/G4</f>
        <v>0</v>
      </c>
      <c r="N3" s="5">
        <f>D3*2/(C3+D3+E3)</f>
        <v>2</v>
      </c>
      <c r="O3" s="1">
        <f>SUM(A3:F3)</f>
        <v>64</v>
      </c>
    </row>
    <row r="4" spans="1:29" s="1" customFormat="1">
      <c r="A4" s="1">
        <v>1</v>
      </c>
      <c r="B4" s="1">
        <v>12.01</v>
      </c>
      <c r="C4" s="1">
        <v>24.31</v>
      </c>
      <c r="D4" s="1">
        <v>55.85</v>
      </c>
      <c r="E4" s="1">
        <v>28.09</v>
      </c>
      <c r="F4" s="1">
        <v>16</v>
      </c>
      <c r="G4" s="1">
        <f>A3*A4+B4*B3+C4*C3+D4*D3+E4*E3+F4*F3</f>
        <v>2299.1999999999998</v>
      </c>
      <c r="I4" s="2">
        <v>6.0220000000000003E+23</v>
      </c>
    </row>
    <row r="5" spans="1:29">
      <c r="A5" s="46" t="s">
        <v>100</v>
      </c>
      <c r="B5" t="s">
        <v>90</v>
      </c>
      <c r="C5" t="s">
        <v>91</v>
      </c>
      <c r="D5" t="s">
        <v>12</v>
      </c>
      <c r="E5" t="s">
        <v>92</v>
      </c>
      <c r="F5" t="s">
        <v>93</v>
      </c>
      <c r="G5" t="s">
        <v>13</v>
      </c>
      <c r="H5" t="s">
        <v>14</v>
      </c>
      <c r="I5" t="s">
        <v>15</v>
      </c>
      <c r="J5" t="s">
        <v>16</v>
      </c>
      <c r="K5" t="s">
        <v>102</v>
      </c>
      <c r="M5" s="83" t="s">
        <v>17</v>
      </c>
      <c r="N5" s="83" t="s">
        <v>18</v>
      </c>
      <c r="O5" s="83" t="s">
        <v>19</v>
      </c>
      <c r="P5" s="83" t="s">
        <v>15</v>
      </c>
      <c r="Q5" s="83" t="s">
        <v>20</v>
      </c>
      <c r="R5" s="83" t="s">
        <v>21</v>
      </c>
      <c r="S5" s="83" t="s">
        <v>22</v>
      </c>
      <c r="T5" s="83" t="s">
        <v>23</v>
      </c>
      <c r="V5" s="83" t="s">
        <v>24</v>
      </c>
      <c r="W5" s="83"/>
      <c r="X5" s="83"/>
      <c r="Y5" s="83"/>
      <c r="Z5" s="83"/>
      <c r="AA5" s="83"/>
      <c r="AB5" s="83"/>
      <c r="AC5" s="83"/>
    </row>
    <row r="6" spans="1:29">
      <c r="A6" s="35" t="s">
        <v>25</v>
      </c>
      <c r="B6">
        <v>0.89549999999999996</v>
      </c>
      <c r="C6">
        <v>500</v>
      </c>
      <c r="D6" s="21">
        <v>451.91</v>
      </c>
      <c r="E6" s="6">
        <f>G$4/(D6*1E-30*I$4)/1000000</f>
        <v>8.4485863650531101</v>
      </c>
      <c r="F6">
        <v>1220</v>
      </c>
      <c r="G6">
        <f>F6+J6</f>
        <v>1281.193</v>
      </c>
      <c r="H6">
        <v>-501.02</v>
      </c>
      <c r="I6">
        <v>4000.43</v>
      </c>
      <c r="J6" s="18">
        <f>492.966-431.773</f>
        <v>61.192999999999984</v>
      </c>
      <c r="K6" t="s">
        <v>413</v>
      </c>
    </row>
    <row r="7" spans="1:29">
      <c r="E7" s="6"/>
      <c r="F7">
        <v>3.11</v>
      </c>
      <c r="H7">
        <v>0.7</v>
      </c>
      <c r="I7">
        <v>0.77</v>
      </c>
    </row>
    <row r="8" spans="1:29">
      <c r="A8" s="9" t="s">
        <v>28</v>
      </c>
      <c r="B8" s="1">
        <v>1</v>
      </c>
      <c r="D8">
        <v>629.29</v>
      </c>
      <c r="F8" s="25">
        <v>373.51</v>
      </c>
      <c r="G8">
        <f>F8+J8</f>
        <v>423.774</v>
      </c>
      <c r="H8" s="25">
        <v>-428.98</v>
      </c>
      <c r="I8" s="25">
        <v>3999.27</v>
      </c>
      <c r="J8">
        <f>399.207-348.943</f>
        <v>50.26400000000001</v>
      </c>
      <c r="L8">
        <v>4000</v>
      </c>
      <c r="M8">
        <f>G8/10</f>
        <v>42.377400000000002</v>
      </c>
      <c r="N8">
        <f>H8</f>
        <v>-428.98</v>
      </c>
      <c r="O8">
        <f>D8</f>
        <v>629.29</v>
      </c>
      <c r="P8">
        <f>I8</f>
        <v>3999.27</v>
      </c>
      <c r="Q8">
        <f>F9/10</f>
        <v>0.156</v>
      </c>
      <c r="R8">
        <f>H9</f>
        <v>0.26</v>
      </c>
      <c r="S8">
        <v>0</v>
      </c>
      <c r="T8">
        <f>I9</f>
        <v>1.73</v>
      </c>
      <c r="V8" s="21" t="s">
        <v>414</v>
      </c>
    </row>
    <row r="9" spans="1:29">
      <c r="F9" s="25">
        <v>1.56</v>
      </c>
      <c r="H9" s="25">
        <v>0.26</v>
      </c>
      <c r="I9" s="25">
        <v>1.73</v>
      </c>
    </row>
    <row r="10" spans="1:29">
      <c r="A10" s="9" t="s">
        <v>30</v>
      </c>
      <c r="B10" t="s">
        <v>415</v>
      </c>
      <c r="D10">
        <v>592.28</v>
      </c>
      <c r="F10" s="25">
        <v>517.02</v>
      </c>
      <c r="G10">
        <f>F10+J10</f>
        <v>568.96</v>
      </c>
      <c r="H10" s="25">
        <v>-424.05</v>
      </c>
      <c r="I10" s="25">
        <v>4000.25</v>
      </c>
      <c r="J10">
        <f>568.216-516.276</f>
        <v>51.940000000000055</v>
      </c>
      <c r="L10">
        <v>4000</v>
      </c>
      <c r="M10">
        <f>G10/10</f>
        <v>56.896000000000001</v>
      </c>
      <c r="N10">
        <f>H10</f>
        <v>-424.05</v>
      </c>
      <c r="O10">
        <f>D10</f>
        <v>592.28</v>
      </c>
      <c r="P10">
        <f>I10</f>
        <v>4000.25</v>
      </c>
      <c r="Q10">
        <f>F11/10</f>
        <v>0.32500000000000001</v>
      </c>
      <c r="R10">
        <f>H11</f>
        <v>0.25</v>
      </c>
      <c r="S10">
        <v>0</v>
      </c>
      <c r="T10">
        <f>I11</f>
        <v>1.55</v>
      </c>
      <c r="V10" s="21" t="s">
        <v>414</v>
      </c>
    </row>
    <row r="11" spans="1:29">
      <c r="F11" s="25">
        <v>3.25</v>
      </c>
      <c r="H11" s="25">
        <v>0.25</v>
      </c>
      <c r="I11" s="25">
        <v>1.55</v>
      </c>
    </row>
    <row r="12" spans="1:29">
      <c r="A12" s="7" t="s">
        <v>32</v>
      </c>
      <c r="B12" t="s">
        <v>416</v>
      </c>
      <c r="D12" s="21">
        <v>556.76</v>
      </c>
      <c r="F12" s="25">
        <v>684.65</v>
      </c>
      <c r="G12">
        <f>F12+J12</f>
        <v>750.17700000000002</v>
      </c>
      <c r="H12" s="25">
        <v>-415.99</v>
      </c>
      <c r="I12" s="25">
        <v>3999.53</v>
      </c>
      <c r="J12">
        <f>768.676-703.149</f>
        <v>65.527000000000044</v>
      </c>
      <c r="L12">
        <v>4000</v>
      </c>
      <c r="M12">
        <f>G12/10</f>
        <v>75.017700000000005</v>
      </c>
      <c r="N12">
        <f>H12</f>
        <v>-415.99</v>
      </c>
      <c r="O12">
        <f>D12</f>
        <v>556.76</v>
      </c>
      <c r="P12">
        <f>I12</f>
        <v>3999.53</v>
      </c>
      <c r="Q12">
        <f>F13/10</f>
        <v>0.22400000000000003</v>
      </c>
      <c r="R12">
        <f>H13</f>
        <v>0.21</v>
      </c>
      <c r="S12">
        <v>0</v>
      </c>
      <c r="T12">
        <f>I13</f>
        <v>2.2799999999999998</v>
      </c>
      <c r="V12" s="21" t="s">
        <v>417</v>
      </c>
    </row>
    <row r="13" spans="1:29">
      <c r="F13" s="25">
        <v>2.2400000000000002</v>
      </c>
      <c r="H13" s="25">
        <v>0.21</v>
      </c>
      <c r="I13" s="25">
        <v>2.2799999999999998</v>
      </c>
    </row>
    <row r="14" spans="1:29">
      <c r="A14" s="9" t="s">
        <v>35</v>
      </c>
      <c r="B14" t="s">
        <v>418</v>
      </c>
      <c r="D14" s="21">
        <v>522.67999999999995</v>
      </c>
      <c r="F14" s="25">
        <v>916.16</v>
      </c>
      <c r="G14">
        <f>F14+J14</f>
        <v>977.06</v>
      </c>
      <c r="H14" s="25">
        <v>-404.88</v>
      </c>
      <c r="I14" s="25">
        <v>3999.92</v>
      </c>
      <c r="J14">
        <f>979.126-918.226</f>
        <v>60.899999999999977</v>
      </c>
      <c r="L14">
        <v>4000</v>
      </c>
      <c r="M14">
        <f>G14/10</f>
        <v>97.705999999999989</v>
      </c>
      <c r="N14">
        <f>H14</f>
        <v>-404.88</v>
      </c>
      <c r="O14">
        <f>D14</f>
        <v>522.67999999999995</v>
      </c>
      <c r="P14">
        <f>I14</f>
        <v>3999.92</v>
      </c>
      <c r="Q14">
        <f>F15/10</f>
        <v>0.21299999999999999</v>
      </c>
      <c r="R14">
        <f>H15</f>
        <v>0.39</v>
      </c>
      <c r="S14">
        <v>0</v>
      </c>
      <c r="T14">
        <f>I15</f>
        <v>1.6</v>
      </c>
      <c r="V14" s="21" t="s">
        <v>419</v>
      </c>
    </row>
    <row r="15" spans="1:29">
      <c r="F15" s="25">
        <v>2.13</v>
      </c>
      <c r="H15" s="25">
        <v>0.39</v>
      </c>
      <c r="I15" s="25">
        <v>1.6</v>
      </c>
    </row>
    <row r="16" spans="1:29">
      <c r="A16" s="9" t="s">
        <v>38</v>
      </c>
      <c r="B16" t="s">
        <v>420</v>
      </c>
      <c r="D16" s="21">
        <v>490.02</v>
      </c>
      <c r="F16" s="25">
        <v>1220.75</v>
      </c>
      <c r="G16">
        <f>F16+J16</f>
        <v>1283.3399999999999</v>
      </c>
      <c r="H16" s="25">
        <v>-389.75</v>
      </c>
      <c r="I16" s="25">
        <v>4000.65</v>
      </c>
      <c r="J16" s="10">
        <f>1290.12-1227.53</f>
        <v>62.589999999999918</v>
      </c>
      <c r="L16">
        <v>4000</v>
      </c>
      <c r="M16">
        <f>G16/10</f>
        <v>128.334</v>
      </c>
      <c r="N16">
        <f>H16</f>
        <v>-389.75</v>
      </c>
      <c r="O16">
        <f>D16</f>
        <v>490.02</v>
      </c>
      <c r="P16">
        <f>I16</f>
        <v>4000.65</v>
      </c>
      <c r="Q16">
        <f>F17/10</f>
        <v>0.58600000000000008</v>
      </c>
      <c r="R16">
        <f>H17</f>
        <v>0.56000000000000005</v>
      </c>
      <c r="S16">
        <v>0</v>
      </c>
      <c r="T16">
        <f>I17</f>
        <v>0.94</v>
      </c>
      <c r="V16" s="21" t="s">
        <v>421</v>
      </c>
    </row>
    <row r="17" spans="1:22">
      <c r="F17" s="25">
        <v>5.86</v>
      </c>
      <c r="H17" s="25">
        <v>0.56000000000000005</v>
      </c>
      <c r="I17" s="25">
        <v>0.94</v>
      </c>
    </row>
    <row r="18" spans="1:22">
      <c r="A18" s="9" t="s">
        <v>40</v>
      </c>
      <c r="B18">
        <v>0.9</v>
      </c>
      <c r="D18" s="21">
        <v>458.75</v>
      </c>
      <c r="F18" s="25">
        <v>1603.53</v>
      </c>
      <c r="G18">
        <f>F18+J18</f>
        <v>1666.23</v>
      </c>
      <c r="H18" s="25">
        <v>-369.8</v>
      </c>
      <c r="I18" s="25">
        <v>3999.49</v>
      </c>
      <c r="J18" s="10">
        <f>1648.44-1585.74</f>
        <v>62.700000000000045</v>
      </c>
      <c r="L18">
        <v>4000</v>
      </c>
      <c r="M18">
        <f>G18/10</f>
        <v>166.62299999999999</v>
      </c>
      <c r="N18">
        <f>H18</f>
        <v>-369.8</v>
      </c>
      <c r="O18">
        <f>D18</f>
        <v>458.75</v>
      </c>
      <c r="P18">
        <f>I18</f>
        <v>3999.49</v>
      </c>
      <c r="Q18">
        <f>F19/10</f>
        <v>0.26700000000000002</v>
      </c>
      <c r="R18">
        <f>H19</f>
        <v>0.2</v>
      </c>
      <c r="S18">
        <v>0</v>
      </c>
      <c r="T18">
        <f>I19</f>
        <v>2.04</v>
      </c>
      <c r="V18" s="45" t="s">
        <v>422</v>
      </c>
    </row>
    <row r="19" spans="1:22">
      <c r="F19" s="25">
        <v>2.67</v>
      </c>
      <c r="H19" s="25">
        <v>0.2</v>
      </c>
      <c r="I19" s="25">
        <v>2.04</v>
      </c>
    </row>
    <row r="20" spans="1:22">
      <c r="A20" t="s">
        <v>68</v>
      </c>
      <c r="B20">
        <v>1.6</v>
      </c>
      <c r="D20" s="21">
        <v>2577.5700000000002</v>
      </c>
      <c r="F20">
        <v>0</v>
      </c>
    </row>
    <row r="22" spans="1:22">
      <c r="A22" t="s">
        <v>134</v>
      </c>
      <c r="B22">
        <v>1.4</v>
      </c>
      <c r="D22" s="21">
        <v>1726.77</v>
      </c>
      <c r="F22" s="22"/>
      <c r="H22" s="22"/>
      <c r="I22" s="22"/>
      <c r="J22" s="10"/>
      <c r="K22" t="s">
        <v>423</v>
      </c>
    </row>
    <row r="23" spans="1:22">
      <c r="F23" s="22"/>
      <c r="H23" s="22"/>
      <c r="I23" s="22"/>
    </row>
    <row r="24" spans="1:22">
      <c r="A24" s="7" t="s">
        <v>424</v>
      </c>
      <c r="B24">
        <v>1.2</v>
      </c>
      <c r="D24" s="21">
        <v>1087.4100000000001</v>
      </c>
      <c r="F24" s="25">
        <v>-26.55</v>
      </c>
      <c r="G24">
        <f>F24+J24</f>
        <v>-1.0792900000000003</v>
      </c>
      <c r="H24" s="25">
        <v>-423.31</v>
      </c>
      <c r="I24" s="25">
        <v>3998.88</v>
      </c>
      <c r="J24" s="21">
        <f>2.51771--22.953</f>
        <v>25.47071</v>
      </c>
      <c r="L24">
        <v>4000</v>
      </c>
      <c r="M24">
        <f>G24/10</f>
        <v>-0.10792900000000002</v>
      </c>
      <c r="N24">
        <f>H24</f>
        <v>-423.31</v>
      </c>
      <c r="O24">
        <f>D24</f>
        <v>1087.4100000000001</v>
      </c>
      <c r="P24">
        <f>I24</f>
        <v>3998.88</v>
      </c>
    </row>
    <row r="25" spans="1:22">
      <c r="F25" s="25">
        <v>0.98</v>
      </c>
      <c r="H25" s="25">
        <v>0.43</v>
      </c>
      <c r="I25" s="25">
        <v>1.8</v>
      </c>
      <c r="L25" s="46">
        <v>4000</v>
      </c>
      <c r="M25" s="46">
        <v>0</v>
      </c>
      <c r="N25" s="46">
        <v>0</v>
      </c>
      <c r="O25" s="46">
        <v>1079</v>
      </c>
      <c r="P25" s="46">
        <v>4000</v>
      </c>
      <c r="Q25" s="46">
        <v>0</v>
      </c>
      <c r="R25" s="46">
        <v>0</v>
      </c>
      <c r="S25" s="46">
        <v>0</v>
      </c>
      <c r="T25" s="46">
        <v>0</v>
      </c>
      <c r="V25" s="21" t="s">
        <v>425</v>
      </c>
    </row>
    <row r="26" spans="1:22">
      <c r="A26" s="9" t="s">
        <v>426</v>
      </c>
      <c r="B26">
        <v>1.1499999999999999</v>
      </c>
      <c r="D26" s="21">
        <v>957.07</v>
      </c>
      <c r="F26" s="25">
        <v>-5.24</v>
      </c>
      <c r="G26">
        <f>F26+J26</f>
        <v>28.757999999999996</v>
      </c>
      <c r="H26" s="25">
        <v>-428.11</v>
      </c>
      <c r="I26" s="25">
        <v>3999.63</v>
      </c>
      <c r="J26">
        <f>23.8498--10.1482</f>
        <v>33.997999999999998</v>
      </c>
      <c r="L26">
        <v>4000</v>
      </c>
      <c r="M26">
        <f>G26/10-F27/10</f>
        <v>2.7917999999999994</v>
      </c>
      <c r="N26">
        <f>H26</f>
        <v>-428.11</v>
      </c>
      <c r="O26">
        <f>D26</f>
        <v>957.07</v>
      </c>
      <c r="P26">
        <f>I26</f>
        <v>3999.63</v>
      </c>
      <c r="Q26">
        <f>F27/10</f>
        <v>8.3999999999999991E-2</v>
      </c>
      <c r="R26">
        <f>H27</f>
        <v>0.57999999999999996</v>
      </c>
      <c r="S26">
        <v>0</v>
      </c>
      <c r="T26">
        <f>I27</f>
        <v>0.86</v>
      </c>
      <c r="V26" s="21" t="s">
        <v>427</v>
      </c>
    </row>
    <row r="27" spans="1:22">
      <c r="F27" s="25">
        <v>0.84</v>
      </c>
      <c r="H27" s="25">
        <v>0.57999999999999996</v>
      </c>
      <c r="I27" s="25">
        <v>0.86</v>
      </c>
    </row>
    <row r="28" spans="1:22">
      <c r="A28" s="9" t="s">
        <v>428</v>
      </c>
      <c r="B28">
        <v>1.1000000000000001</v>
      </c>
      <c r="D28" s="21">
        <v>837.59</v>
      </c>
      <c r="F28" s="25">
        <v>45.19</v>
      </c>
      <c r="G28">
        <f>F28+J28</f>
        <v>82.709000000000003</v>
      </c>
      <c r="H28" s="25">
        <v>-432.04</v>
      </c>
      <c r="I28" s="25">
        <v>3999.95</v>
      </c>
      <c r="J28">
        <f>75.5166-37.9976</f>
        <v>37.518999999999998</v>
      </c>
      <c r="L28">
        <v>4000</v>
      </c>
      <c r="M28">
        <f>G28/10-F29/10</f>
        <v>8.0829000000000004</v>
      </c>
      <c r="N28">
        <f>H28</f>
        <v>-432.04</v>
      </c>
      <c r="O28">
        <f>D28</f>
        <v>837.59</v>
      </c>
      <c r="P28">
        <f>I28</f>
        <v>3999.95</v>
      </c>
      <c r="Q28">
        <f>F29/10</f>
        <v>0.188</v>
      </c>
      <c r="R28">
        <f>H29</f>
        <v>0.28999999999999998</v>
      </c>
      <c r="S28">
        <v>0</v>
      </c>
      <c r="T28">
        <f>I29</f>
        <v>0.94</v>
      </c>
      <c r="V28" s="21" t="s">
        <v>429</v>
      </c>
    </row>
    <row r="29" spans="1:22">
      <c r="F29" s="25">
        <v>1.88</v>
      </c>
      <c r="H29" s="25">
        <v>0.28999999999999998</v>
      </c>
      <c r="I29" s="25">
        <v>0.94</v>
      </c>
    </row>
    <row r="30" spans="1:22">
      <c r="A30" s="7" t="s">
        <v>430</v>
      </c>
      <c r="B30">
        <v>1.05</v>
      </c>
      <c r="D30" s="21">
        <v>728.48</v>
      </c>
      <c r="F30" s="25">
        <v>155.55000000000001</v>
      </c>
      <c r="G30">
        <f>F30+J30</f>
        <v>201.29400000000001</v>
      </c>
      <c r="H30" s="25">
        <v>-433.41</v>
      </c>
      <c r="I30" s="25">
        <v>4000.78</v>
      </c>
      <c r="J30">
        <f>198.329-152.585</f>
        <v>45.744</v>
      </c>
      <c r="L30">
        <v>4000</v>
      </c>
      <c r="M30">
        <f>G30/10-F31/10</f>
        <v>19.8154</v>
      </c>
      <c r="N30">
        <f>H30</f>
        <v>-433.41</v>
      </c>
      <c r="O30">
        <f>D30</f>
        <v>728.48</v>
      </c>
      <c r="P30">
        <f>I30</f>
        <v>4000.78</v>
      </c>
      <c r="Q30">
        <f>F31/10</f>
        <v>0.314</v>
      </c>
      <c r="R30">
        <f>H31</f>
        <v>0.26</v>
      </c>
      <c r="S30">
        <v>0</v>
      </c>
      <c r="T30">
        <f>I31</f>
        <v>1.05</v>
      </c>
      <c r="V30" s="21" t="s">
        <v>431</v>
      </c>
    </row>
    <row r="31" spans="1:22">
      <c r="F31" s="25">
        <v>3.14</v>
      </c>
      <c r="H31" s="25">
        <v>0.26</v>
      </c>
      <c r="I31" s="25">
        <v>1.05</v>
      </c>
    </row>
    <row r="32" spans="1:22">
      <c r="A32" s="9" t="s">
        <v>432</v>
      </c>
      <c r="B32">
        <v>1.0249999999999999</v>
      </c>
      <c r="D32" s="21">
        <v>781.77</v>
      </c>
      <c r="F32" s="25">
        <v>91.62</v>
      </c>
      <c r="G32">
        <f>F32+J32</f>
        <v>134.69499999999999</v>
      </c>
      <c r="H32" s="25">
        <v>-432.99</v>
      </c>
      <c r="I32" s="25">
        <v>4000.78</v>
      </c>
      <c r="J32">
        <f>133.146-90.071</f>
        <v>43.074999999999989</v>
      </c>
      <c r="L32">
        <v>4000</v>
      </c>
      <c r="M32">
        <f>G32/10</f>
        <v>13.4695</v>
      </c>
      <c r="N32">
        <f>H32</f>
        <v>-432.99</v>
      </c>
      <c r="O32">
        <f>D32</f>
        <v>781.77</v>
      </c>
      <c r="P32">
        <f>I32</f>
        <v>4000.78</v>
      </c>
      <c r="Q32">
        <f>F33/10</f>
        <v>5.7999999999999996E-2</v>
      </c>
      <c r="R32">
        <f>H33</f>
        <v>0.39</v>
      </c>
      <c r="S32">
        <v>0</v>
      </c>
      <c r="T32">
        <f>I33</f>
        <v>3.36</v>
      </c>
      <c r="V32" s="21" t="s">
        <v>433</v>
      </c>
    </row>
    <row r="33" spans="1:22">
      <c r="F33" s="25">
        <v>0.57999999999999996</v>
      </c>
      <c r="H33" s="25">
        <v>0.39</v>
      </c>
      <c r="I33" s="25">
        <v>3.36</v>
      </c>
    </row>
    <row r="35" spans="1:22">
      <c r="A35" t="s">
        <v>216</v>
      </c>
      <c r="B35" t="s">
        <v>90</v>
      </c>
      <c r="C35" t="s">
        <v>91</v>
      </c>
      <c r="D35" t="s">
        <v>12</v>
      </c>
      <c r="E35" t="s">
        <v>92</v>
      </c>
      <c r="F35" t="s">
        <v>93</v>
      </c>
      <c r="G35" t="s">
        <v>13</v>
      </c>
      <c r="H35" t="s">
        <v>14</v>
      </c>
      <c r="I35" t="s">
        <v>15</v>
      </c>
      <c r="J35" t="s">
        <v>16</v>
      </c>
      <c r="K35" t="s">
        <v>102</v>
      </c>
      <c r="M35" s="83"/>
      <c r="N35" s="83"/>
      <c r="O35" s="83"/>
      <c r="P35" s="83"/>
      <c r="Q35" s="83"/>
      <c r="R35" s="83"/>
      <c r="S35" s="83"/>
      <c r="T35" s="83"/>
    </row>
    <row r="36" spans="1:22">
      <c r="A36" t="s">
        <v>223</v>
      </c>
      <c r="B36">
        <v>1</v>
      </c>
      <c r="C36">
        <v>34</v>
      </c>
      <c r="D36" s="21">
        <v>629.29</v>
      </c>
      <c r="F36" s="25">
        <v>311.94</v>
      </c>
      <c r="G36">
        <f>F36+J36</f>
        <v>361.88600000000002</v>
      </c>
      <c r="H36" s="25">
        <v>-439.93</v>
      </c>
      <c r="I36" s="25">
        <v>3000.45</v>
      </c>
      <c r="J36" s="35">
        <f>374.72-324.774</f>
        <v>49.946000000000026</v>
      </c>
      <c r="L36">
        <v>3000</v>
      </c>
      <c r="M36">
        <f>G36/10-F37/10</f>
        <v>36.130600000000001</v>
      </c>
      <c r="N36">
        <f>H36</f>
        <v>-439.93</v>
      </c>
      <c r="O36">
        <f>D36</f>
        <v>629.29</v>
      </c>
      <c r="P36">
        <f>I36</f>
        <v>3000.45</v>
      </c>
      <c r="Q36">
        <f>F37/10</f>
        <v>5.7999999999999996E-2</v>
      </c>
      <c r="R36">
        <f>H37</f>
        <v>7.0000000000000007E-2</v>
      </c>
      <c r="S36">
        <v>0</v>
      </c>
      <c r="T36">
        <f>I37</f>
        <v>0.54</v>
      </c>
      <c r="U36" t="s">
        <v>434</v>
      </c>
      <c r="V36" s="21" t="s">
        <v>435</v>
      </c>
    </row>
    <row r="37" spans="1:22">
      <c r="F37" s="25">
        <v>0.57999999999999996</v>
      </c>
      <c r="H37" s="25">
        <v>7.0000000000000007E-2</v>
      </c>
      <c r="I37" s="25">
        <v>0.54</v>
      </c>
      <c r="J37" s="35"/>
    </row>
    <row r="38" spans="1:22">
      <c r="A38" t="s">
        <v>436</v>
      </c>
      <c r="B38">
        <v>0.98</v>
      </c>
      <c r="D38" s="21">
        <v>592.28</v>
      </c>
      <c r="F38" s="25">
        <v>443.39</v>
      </c>
      <c r="G38">
        <f>F38+J38</f>
        <v>494.49199999999996</v>
      </c>
      <c r="H38" s="25">
        <v>-434.86</v>
      </c>
      <c r="I38" s="25">
        <v>2999.87</v>
      </c>
      <c r="J38" s="35">
        <f>500.243-449.141</f>
        <v>51.101999999999975</v>
      </c>
      <c r="L38">
        <v>3000</v>
      </c>
      <c r="M38">
        <f>G38/10-F39/10</f>
        <v>49.136199999999995</v>
      </c>
      <c r="N38">
        <f>H38</f>
        <v>-434.86</v>
      </c>
      <c r="O38">
        <f>D38</f>
        <v>592.28</v>
      </c>
      <c r="P38">
        <f>I38</f>
        <v>2999.87</v>
      </c>
      <c r="Q38">
        <f>F39/10</f>
        <v>0.313</v>
      </c>
      <c r="R38">
        <f>H39</f>
        <v>0.18</v>
      </c>
      <c r="S38">
        <v>0</v>
      </c>
      <c r="T38">
        <f>I39</f>
        <v>0.87</v>
      </c>
      <c r="V38" s="21" t="s">
        <v>437</v>
      </c>
    </row>
    <row r="39" spans="1:22">
      <c r="F39" s="25">
        <v>3.13</v>
      </c>
      <c r="H39" s="25">
        <v>0.18</v>
      </c>
      <c r="I39" s="25">
        <v>0.87</v>
      </c>
      <c r="J39" s="35"/>
    </row>
    <row r="40" spans="1:22">
      <c r="A40" t="s">
        <v>227</v>
      </c>
      <c r="B40">
        <v>0.96</v>
      </c>
      <c r="D40">
        <f>D12</f>
        <v>556.76</v>
      </c>
      <c r="F40" s="25">
        <v>603.55999999999995</v>
      </c>
      <c r="G40">
        <f>F40+J40</f>
        <v>661.77499999999998</v>
      </c>
      <c r="H40" s="25">
        <v>-427.85</v>
      </c>
      <c r="I40" s="25">
        <v>2999.5</v>
      </c>
      <c r="J40" s="35">
        <f>658.738-600.523</f>
        <v>58.215000000000032</v>
      </c>
      <c r="L40">
        <v>3000</v>
      </c>
      <c r="M40">
        <f>G40/10-F41/10</f>
        <v>65.902499999999989</v>
      </c>
      <c r="N40">
        <f>H40</f>
        <v>-427.85</v>
      </c>
      <c r="O40">
        <f>D40</f>
        <v>556.76</v>
      </c>
      <c r="P40">
        <f>I40</f>
        <v>2999.5</v>
      </c>
      <c r="Q40">
        <f>F41/10</f>
        <v>0.27500000000000002</v>
      </c>
      <c r="R40">
        <f>H41</f>
        <v>0.36</v>
      </c>
      <c r="S40">
        <v>0</v>
      </c>
      <c r="T40">
        <f>I41</f>
        <v>1.58</v>
      </c>
      <c r="V40" s="21" t="s">
        <v>438</v>
      </c>
    </row>
    <row r="41" spans="1:22">
      <c r="F41" s="25">
        <v>2.75</v>
      </c>
      <c r="H41" s="25">
        <v>0.36</v>
      </c>
      <c r="I41" s="25">
        <v>1.58</v>
      </c>
      <c r="J41" s="35"/>
    </row>
    <row r="42" spans="1:22">
      <c r="A42" t="s">
        <v>58</v>
      </c>
      <c r="B42" s="21">
        <v>0.94</v>
      </c>
      <c r="D42">
        <f>D14</f>
        <v>522.67999999999995</v>
      </c>
      <c r="F42" s="25">
        <v>823.26</v>
      </c>
      <c r="G42">
        <f>F42+J42</f>
        <v>875.3549999999999</v>
      </c>
      <c r="H42" s="25">
        <v>-417.49</v>
      </c>
      <c r="I42" s="25">
        <v>2999.8</v>
      </c>
      <c r="J42" s="35">
        <f>868.435-816.34</f>
        <v>52.094999999999914</v>
      </c>
      <c r="L42">
        <v>3000</v>
      </c>
      <c r="M42">
        <f>G42/10</f>
        <v>87.535499999999985</v>
      </c>
      <c r="N42">
        <f>H42</f>
        <v>-417.49</v>
      </c>
      <c r="O42">
        <f>D42</f>
        <v>522.67999999999995</v>
      </c>
      <c r="P42">
        <f>I42</f>
        <v>2999.8</v>
      </c>
      <c r="Q42">
        <f>F43/10</f>
        <v>0.433</v>
      </c>
      <c r="R42">
        <f>H43</f>
        <v>0.45</v>
      </c>
      <c r="S42">
        <v>0</v>
      </c>
      <c r="T42">
        <f>I43</f>
        <v>1.29</v>
      </c>
      <c r="V42" s="21" t="s">
        <v>439</v>
      </c>
    </row>
    <row r="43" spans="1:22">
      <c r="F43" s="25">
        <v>4.33</v>
      </c>
      <c r="H43" s="25">
        <v>0.45</v>
      </c>
      <c r="I43" s="25">
        <v>1.29</v>
      </c>
      <c r="J43" s="35"/>
    </row>
    <row r="44" spans="1:22">
      <c r="A44" t="s">
        <v>54</v>
      </c>
      <c r="B44" s="21">
        <v>0.92</v>
      </c>
      <c r="D44">
        <f>D16</f>
        <v>490.02</v>
      </c>
      <c r="F44" s="25">
        <v>1031.3699999999999</v>
      </c>
      <c r="G44">
        <f>F44+J44</f>
        <v>1093.29</v>
      </c>
      <c r="H44" s="25">
        <v>-409.05</v>
      </c>
      <c r="I44" s="25">
        <v>2999.91</v>
      </c>
      <c r="J44" s="35">
        <f>1145.7-1083.78</f>
        <v>61.920000000000073</v>
      </c>
      <c r="K44" t="s">
        <v>440</v>
      </c>
    </row>
    <row r="45" spans="1:22">
      <c r="F45" s="25">
        <v>5.08</v>
      </c>
      <c r="H45" s="25">
        <v>0.79</v>
      </c>
      <c r="I45" s="25">
        <v>0.91</v>
      </c>
      <c r="J45" s="35"/>
    </row>
    <row r="46" spans="1:22">
      <c r="A46" s="54" t="s">
        <v>56</v>
      </c>
      <c r="J46" s="35"/>
    </row>
    <row r="47" spans="1:22">
      <c r="J47" s="35"/>
    </row>
    <row r="48" spans="1:22">
      <c r="A48" s="66" t="s">
        <v>217</v>
      </c>
      <c r="B48">
        <v>1.1499999999999999</v>
      </c>
      <c r="D48">
        <v>957.07</v>
      </c>
      <c r="F48" s="25">
        <v>-27.36</v>
      </c>
      <c r="G48">
        <f>F48+J48</f>
        <v>6.8323000000000036</v>
      </c>
      <c r="H48" s="25">
        <v>-438.82</v>
      </c>
      <c r="I48" s="25">
        <v>3000.49</v>
      </c>
      <c r="J48">
        <f>11.3521--22.8402</f>
        <v>34.192300000000003</v>
      </c>
      <c r="L48">
        <v>3000</v>
      </c>
      <c r="M48" s="46">
        <f>0.3</f>
        <v>0.3</v>
      </c>
      <c r="N48">
        <f>H48</f>
        <v>-438.82</v>
      </c>
      <c r="O48">
        <f>D48</f>
        <v>957.07</v>
      </c>
      <c r="P48">
        <f>I48</f>
        <v>3000.49</v>
      </c>
      <c r="Q48">
        <f>F49/10</f>
        <v>6.8999999999999992E-2</v>
      </c>
      <c r="R48">
        <f>H49</f>
        <v>0.26</v>
      </c>
      <c r="S48">
        <v>0</v>
      </c>
      <c r="T48">
        <f>I49</f>
        <v>1.19</v>
      </c>
      <c r="V48" s="45" t="s">
        <v>441</v>
      </c>
    </row>
    <row r="49" spans="1:22">
      <c r="F49" s="25">
        <v>0.69</v>
      </c>
      <c r="H49" s="25">
        <v>0.26</v>
      </c>
      <c r="I49" s="25">
        <v>1.19</v>
      </c>
      <c r="J49" s="35"/>
    </row>
    <row r="50" spans="1:22">
      <c r="A50" t="s">
        <v>442</v>
      </c>
      <c r="B50">
        <v>1.1000000000000001</v>
      </c>
      <c r="C50" t="s">
        <v>443</v>
      </c>
      <c r="D50">
        <f>D28</f>
        <v>837.59</v>
      </c>
      <c r="F50" s="25">
        <v>12.17</v>
      </c>
      <c r="G50">
        <f>F50+J50</f>
        <v>49.497450000000001</v>
      </c>
      <c r="H50" s="25">
        <v>-442.53</v>
      </c>
      <c r="I50" s="25">
        <v>2999.35</v>
      </c>
      <c r="J50" s="35">
        <f>42.5568-5.22935</f>
        <v>37.327449999999999</v>
      </c>
      <c r="L50">
        <v>3000</v>
      </c>
      <c r="M50">
        <f>G50/10-F51/10</f>
        <v>4.7897449999999999</v>
      </c>
      <c r="N50">
        <f>H50</f>
        <v>-442.53</v>
      </c>
      <c r="O50">
        <f>D50</f>
        <v>837.59</v>
      </c>
      <c r="P50">
        <f>I50</f>
        <v>2999.35</v>
      </c>
      <c r="Q50">
        <f>F51/10</f>
        <v>0.16</v>
      </c>
      <c r="R50">
        <f>H51</f>
        <v>0.18</v>
      </c>
      <c r="S50">
        <v>0</v>
      </c>
      <c r="T50">
        <f>I51</f>
        <v>2.14</v>
      </c>
      <c r="V50" s="45" t="s">
        <v>444</v>
      </c>
    </row>
    <row r="51" spans="1:22">
      <c r="F51" s="25">
        <v>1.6</v>
      </c>
      <c r="H51" s="25">
        <v>0.18</v>
      </c>
      <c r="I51" s="25">
        <v>2.14</v>
      </c>
    </row>
    <row r="52" spans="1:22">
      <c r="A52" t="s">
        <v>445</v>
      </c>
      <c r="B52">
        <v>1.05</v>
      </c>
      <c r="C52" t="s">
        <v>446</v>
      </c>
      <c r="D52" s="21">
        <v>728.48</v>
      </c>
      <c r="F52" s="25">
        <v>104.64</v>
      </c>
      <c r="G52">
        <f>F52+J52</f>
        <v>149.44600000000003</v>
      </c>
      <c r="H52" s="25">
        <v>-443.8</v>
      </c>
      <c r="I52" s="25">
        <v>3000.12</v>
      </c>
      <c r="J52">
        <f>144.96-100.154</f>
        <v>44.806000000000012</v>
      </c>
      <c r="L52">
        <v>3000</v>
      </c>
      <c r="M52">
        <f>G52/10</f>
        <v>14.944600000000003</v>
      </c>
      <c r="N52">
        <f>H52</f>
        <v>-443.8</v>
      </c>
      <c r="O52">
        <f>D52</f>
        <v>728.48</v>
      </c>
      <c r="P52">
        <f>I52</f>
        <v>3000.12</v>
      </c>
      <c r="Q52">
        <f>F53/10</f>
        <v>0.29100000000000004</v>
      </c>
      <c r="R52">
        <f>H53</f>
        <v>0.26</v>
      </c>
      <c r="S52">
        <v>0</v>
      </c>
      <c r="T52">
        <f>I53</f>
        <v>1.62</v>
      </c>
      <c r="V52" s="45" t="s">
        <v>447</v>
      </c>
    </row>
    <row r="53" spans="1:22">
      <c r="F53" s="25">
        <v>2.91</v>
      </c>
      <c r="H53" s="25">
        <v>0.26</v>
      </c>
      <c r="I53" s="25">
        <v>1.62</v>
      </c>
    </row>
    <row r="54" spans="1:22">
      <c r="A54" t="s">
        <v>448</v>
      </c>
      <c r="B54">
        <v>1.07</v>
      </c>
      <c r="C54" t="s">
        <v>449</v>
      </c>
      <c r="D54" s="21">
        <v>781.77</v>
      </c>
      <c r="F54" s="25">
        <v>45.83</v>
      </c>
      <c r="G54">
        <f>F54+J54</f>
        <v>88.470799999999997</v>
      </c>
      <c r="H54" s="25">
        <v>-443.88</v>
      </c>
      <c r="I54" s="25">
        <v>2998.67</v>
      </c>
      <c r="J54">
        <f>81.3663-38.7255</f>
        <v>42.640799999999999</v>
      </c>
      <c r="L54">
        <v>3000</v>
      </c>
      <c r="M54">
        <f>G54/10</f>
        <v>8.8470800000000001</v>
      </c>
      <c r="N54">
        <f>H54</f>
        <v>-443.88</v>
      </c>
      <c r="O54">
        <f>D54</f>
        <v>781.77</v>
      </c>
      <c r="P54">
        <f>I54</f>
        <v>2998.67</v>
      </c>
      <c r="Q54">
        <f>F55/10</f>
        <v>0.193</v>
      </c>
      <c r="R54">
        <f>H55</f>
        <v>0.33</v>
      </c>
      <c r="S54">
        <v>0</v>
      </c>
      <c r="T54">
        <f>I55</f>
        <v>1.38</v>
      </c>
      <c r="V54" s="45" t="s">
        <v>450</v>
      </c>
    </row>
    <row r="55" spans="1:22">
      <c r="F55" s="25">
        <v>1.93</v>
      </c>
      <c r="H55" s="25">
        <v>0.33</v>
      </c>
      <c r="I55" s="25">
        <v>1.38</v>
      </c>
    </row>
    <row r="63" spans="1:22">
      <c r="B63" t="s">
        <v>451</v>
      </c>
      <c r="C63" t="s">
        <v>452</v>
      </c>
    </row>
    <row r="64" spans="1:22">
      <c r="A64">
        <v>2000</v>
      </c>
      <c r="B64">
        <f>-451.42/32</f>
        <v>-14.106875</v>
      </c>
      <c r="C64">
        <f>-544.97/32</f>
        <v>-17.030312500000001</v>
      </c>
    </row>
    <row r="65" spans="1:7">
      <c r="A65">
        <v>3000</v>
      </c>
      <c r="B65">
        <f>N48/32</f>
        <v>-13.713125</v>
      </c>
      <c r="C65">
        <f>melt7_FeO1.5!N32/32</f>
        <v>-16.298124999999999</v>
      </c>
    </row>
    <row r="66" spans="1:7">
      <c r="A66">
        <v>4000</v>
      </c>
      <c r="B66">
        <f>N24/32</f>
        <v>-13.2284375</v>
      </c>
      <c r="C66">
        <f>melt7_FeO1.5!N16/32</f>
        <v>-15.490937499999999</v>
      </c>
    </row>
    <row r="68" spans="1:7">
      <c r="A68" t="s">
        <v>129</v>
      </c>
      <c r="B68">
        <v>0</v>
      </c>
      <c r="C68" s="79">
        <v>300</v>
      </c>
      <c r="D68" s="79" t="s">
        <v>453</v>
      </c>
      <c r="E68" s="79" t="s">
        <v>454</v>
      </c>
      <c r="F68" s="79" t="s">
        <v>455</v>
      </c>
      <c r="G68" s="79" t="s">
        <v>456</v>
      </c>
    </row>
    <row r="69" spans="1:7">
      <c r="A69" t="s">
        <v>128</v>
      </c>
      <c r="B69" s="79">
        <v>-8.7148000000000003</v>
      </c>
      <c r="C69" s="79">
        <v>-8.7146000000000008</v>
      </c>
      <c r="D69" s="79">
        <v>-8.7047000000000008</v>
      </c>
      <c r="E69" s="79">
        <v>-8.6880000000000006</v>
      </c>
      <c r="F69" s="79">
        <v>-8.6677</v>
      </c>
      <c r="G69" s="79">
        <v>-8.6443999999999992</v>
      </c>
    </row>
    <row r="70" spans="1:7">
      <c r="A70" t="s">
        <v>457</v>
      </c>
      <c r="B70">
        <f t="shared" ref="B70:G70" si="0">B69/4</f>
        <v>-2.1787000000000001</v>
      </c>
      <c r="C70">
        <f t="shared" si="0"/>
        <v>-2.1786500000000002</v>
      </c>
      <c r="D70">
        <f t="shared" si="0"/>
        <v>-2.1761750000000002</v>
      </c>
      <c r="E70">
        <f t="shared" si="0"/>
        <v>-2.1720000000000002</v>
      </c>
      <c r="F70">
        <f t="shared" si="0"/>
        <v>-2.166925</v>
      </c>
      <c r="G70">
        <f t="shared" si="0"/>
        <v>-2.1610999999999998</v>
      </c>
    </row>
    <row r="71" spans="1:7">
      <c r="A71" t="s">
        <v>458</v>
      </c>
      <c r="E71">
        <f>C64-(E70+B64)</f>
        <v>-0.75143750000000153</v>
      </c>
      <c r="F71">
        <f>C65-(B65+F70)</f>
        <v>-0.4180749999999982</v>
      </c>
      <c r="G71">
        <f>C66-(G70+B66)</f>
        <v>-0.10139999999999993</v>
      </c>
    </row>
    <row r="72" spans="1:7">
      <c r="A72" t="s">
        <v>459</v>
      </c>
      <c r="E72">
        <f>E71*1.6022E-19*6.022E+23</f>
        <v>-72502.059445750157</v>
      </c>
      <c r="F72">
        <f>F71*1.6022E-19*6.022E+23</f>
        <v>-40337.750648299829</v>
      </c>
      <c r="G72">
        <f>G71*1.6022E-19*6.022E+23</f>
        <v>-9783.5266775999953</v>
      </c>
    </row>
    <row r="73" spans="1:7">
      <c r="A73" t="s">
        <v>460</v>
      </c>
      <c r="E73">
        <f>E72/8.314/3000</f>
        <v>-2.9068262146479897</v>
      </c>
      <c r="F73">
        <f>F72/8.314/3000</f>
        <v>-1.6172620739435422</v>
      </c>
      <c r="G73">
        <f>G72/8.314/3000</f>
        <v>-0.39225108963194588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AC47"/>
  <sheetViews>
    <sheetView topLeftCell="A7" zoomScale="72" zoomScaleNormal="72" workbookViewId="0">
      <selection activeCell="M48" sqref="M48"/>
    </sheetView>
  </sheetViews>
  <sheetFormatPr baseColWidth="10" defaultRowHeight="16"/>
  <sheetData>
    <row r="1" spans="1:29" s="66" customFormat="1">
      <c r="A1" s="66" t="s">
        <v>461</v>
      </c>
      <c r="F1" s="21" t="s">
        <v>462</v>
      </c>
    </row>
    <row r="2" spans="1:29" s="1" customFormat="1">
      <c r="A2" s="1" t="s">
        <v>3</v>
      </c>
      <c r="B2" s="1" t="s">
        <v>4</v>
      </c>
      <c r="C2" t="s">
        <v>5</v>
      </c>
      <c r="D2" t="s">
        <v>6</v>
      </c>
      <c r="E2" t="s">
        <v>7</v>
      </c>
      <c r="F2" t="s">
        <v>8</v>
      </c>
      <c r="G2" s="1" t="s">
        <v>9</v>
      </c>
      <c r="I2" s="1" t="s">
        <v>10</v>
      </c>
      <c r="J2" s="1" t="s">
        <v>11</v>
      </c>
      <c r="K2" s="1" t="s">
        <v>97</v>
      </c>
      <c r="L2" s="1" t="s">
        <v>98</v>
      </c>
      <c r="N2" s="1" t="s">
        <v>6</v>
      </c>
    </row>
    <row r="3" spans="1:29" s="1" customFormat="1">
      <c r="A3" s="1">
        <v>0</v>
      </c>
      <c r="B3" s="1">
        <v>0</v>
      </c>
      <c r="C3">
        <v>0</v>
      </c>
      <c r="D3">
        <v>32</v>
      </c>
      <c r="E3">
        <v>0</v>
      </c>
      <c r="F3">
        <v>48</v>
      </c>
      <c r="J3" s="4">
        <f>D3*72/G4</f>
        <v>0.9016906700062618</v>
      </c>
      <c r="K3" s="1">
        <f>A3/2*18/G4</f>
        <v>0</v>
      </c>
      <c r="L3" s="1">
        <f>B3*(12+32)/G4</f>
        <v>0</v>
      </c>
      <c r="N3" s="5">
        <f>D3*2/(C3+D3+E3)</f>
        <v>2</v>
      </c>
      <c r="O3" s="1">
        <f>SUM(A3:F3)</f>
        <v>80</v>
      </c>
    </row>
    <row r="4" spans="1:29" s="1" customFormat="1">
      <c r="A4" s="1">
        <v>1</v>
      </c>
      <c r="B4" s="1">
        <v>12.01</v>
      </c>
      <c r="C4" s="1">
        <v>24.31</v>
      </c>
      <c r="D4" s="1">
        <v>55.85</v>
      </c>
      <c r="E4" s="1">
        <v>28.09</v>
      </c>
      <c r="F4" s="1">
        <v>16</v>
      </c>
      <c r="G4" s="1">
        <f>A3*A4+B4*B3+C4*C3+D4*D3+E4*E3+F4*F3</f>
        <v>2555.1999999999998</v>
      </c>
      <c r="I4" s="2">
        <v>6.0220000000000003E+23</v>
      </c>
    </row>
    <row r="5" spans="1:29">
      <c r="A5" s="46" t="s">
        <v>100</v>
      </c>
      <c r="B5" t="s">
        <v>90</v>
      </c>
      <c r="C5" t="s">
        <v>91</v>
      </c>
      <c r="D5" t="s">
        <v>12</v>
      </c>
      <c r="E5" t="s">
        <v>92</v>
      </c>
      <c r="F5" t="s">
        <v>93</v>
      </c>
      <c r="G5" t="s">
        <v>13</v>
      </c>
      <c r="H5" t="s">
        <v>14</v>
      </c>
      <c r="I5" t="s">
        <v>15</v>
      </c>
      <c r="J5" t="s">
        <v>16</v>
      </c>
      <c r="K5" t="s">
        <v>102</v>
      </c>
      <c r="M5" s="83" t="s">
        <v>17</v>
      </c>
      <c r="N5" s="83" t="s">
        <v>18</v>
      </c>
      <c r="O5" s="83" t="s">
        <v>19</v>
      </c>
      <c r="P5" s="83" t="s">
        <v>15</v>
      </c>
      <c r="Q5" s="83" t="s">
        <v>20</v>
      </c>
      <c r="R5" s="83" t="s">
        <v>21</v>
      </c>
      <c r="S5" s="83" t="s">
        <v>22</v>
      </c>
      <c r="T5" s="83" t="s">
        <v>23</v>
      </c>
      <c r="V5" s="83" t="s">
        <v>24</v>
      </c>
      <c r="W5" s="83"/>
      <c r="X5" s="83"/>
      <c r="Y5" s="83"/>
      <c r="Z5" s="83"/>
      <c r="AA5" s="83"/>
      <c r="AB5" s="83"/>
      <c r="AC5" s="83"/>
    </row>
    <row r="6" spans="1:29">
      <c r="A6" t="s">
        <v>25</v>
      </c>
      <c r="D6" s="21"/>
      <c r="E6" s="6"/>
      <c r="J6" s="18"/>
    </row>
    <row r="8" spans="1:29">
      <c r="A8" t="s">
        <v>28</v>
      </c>
      <c r="B8">
        <v>1</v>
      </c>
      <c r="C8" s="21" t="s">
        <v>1</v>
      </c>
      <c r="D8">
        <v>629.29</v>
      </c>
      <c r="F8" s="22">
        <v>950.49</v>
      </c>
      <c r="G8">
        <f>F8+J8</f>
        <v>1026.4690000000001</v>
      </c>
      <c r="H8" s="22">
        <v>-472.35</v>
      </c>
      <c r="I8" s="22">
        <v>3999.58</v>
      </c>
      <c r="J8" s="10">
        <f>1023.54-947.561</f>
        <v>75.978999999999928</v>
      </c>
      <c r="L8">
        <v>4000</v>
      </c>
      <c r="M8">
        <f>G8/10</f>
        <v>102.6469</v>
      </c>
      <c r="N8">
        <f>H8</f>
        <v>-472.35</v>
      </c>
      <c r="O8">
        <f>D8</f>
        <v>629.29</v>
      </c>
      <c r="P8">
        <f>I8</f>
        <v>3999.58</v>
      </c>
      <c r="Q8">
        <f>F9/10</f>
        <v>0.252</v>
      </c>
      <c r="R8">
        <f>H9</f>
        <v>0.24</v>
      </c>
      <c r="S8">
        <v>0</v>
      </c>
      <c r="T8">
        <f>I9</f>
        <v>1.53</v>
      </c>
      <c r="V8" s="21" t="s">
        <v>463</v>
      </c>
    </row>
    <row r="9" spans="1:29">
      <c r="F9" s="22">
        <v>2.52</v>
      </c>
      <c r="H9" s="22">
        <v>0.24</v>
      </c>
      <c r="I9" s="22">
        <v>1.53</v>
      </c>
    </row>
    <row r="10" spans="1:29">
      <c r="A10" t="s">
        <v>30</v>
      </c>
      <c r="B10" s="23" t="s">
        <v>415</v>
      </c>
      <c r="D10">
        <v>592.28</v>
      </c>
      <c r="F10" s="22">
        <v>1226.46</v>
      </c>
      <c r="G10">
        <f>F10+J10</f>
        <v>1303.47</v>
      </c>
      <c r="H10" s="22">
        <v>-456.51</v>
      </c>
      <c r="I10" s="22">
        <v>3999.51</v>
      </c>
      <c r="J10" s="10">
        <f>1303.27-1226.26</f>
        <v>77.009999999999991</v>
      </c>
      <c r="L10">
        <v>4000</v>
      </c>
      <c r="M10">
        <f>G10/10</f>
        <v>130.34700000000001</v>
      </c>
      <c r="N10">
        <f>H10</f>
        <v>-456.51</v>
      </c>
      <c r="O10">
        <f>D10</f>
        <v>592.28</v>
      </c>
      <c r="P10">
        <f>I10</f>
        <v>3999.51</v>
      </c>
      <c r="Q10">
        <f>F11/10</f>
        <v>0.35199999999999998</v>
      </c>
      <c r="R10">
        <f>H11</f>
        <v>1.0900000000000001</v>
      </c>
      <c r="S10">
        <v>0</v>
      </c>
      <c r="T10">
        <f>I11</f>
        <v>0.82</v>
      </c>
      <c r="V10" s="21" t="s">
        <v>464</v>
      </c>
    </row>
    <row r="11" spans="1:29">
      <c r="F11" s="22">
        <v>3.52</v>
      </c>
      <c r="H11" s="22">
        <v>1.0900000000000001</v>
      </c>
      <c r="I11" s="22">
        <v>0.82</v>
      </c>
    </row>
    <row r="12" spans="1:29">
      <c r="A12" t="s">
        <v>32</v>
      </c>
      <c r="B12" t="s">
        <v>416</v>
      </c>
      <c r="D12" s="21">
        <v>556.76</v>
      </c>
      <c r="F12" s="22">
        <v>1576.48</v>
      </c>
      <c r="G12">
        <f>F12+J12</f>
        <v>1665.54</v>
      </c>
      <c r="H12" s="22">
        <v>-431.58</v>
      </c>
      <c r="I12" s="22">
        <v>4000.28</v>
      </c>
      <c r="J12" s="10">
        <f>1659.75-1570.69</f>
        <v>89.059999999999945</v>
      </c>
      <c r="L12">
        <v>4000</v>
      </c>
      <c r="M12">
        <f>G12/10</f>
        <v>166.554</v>
      </c>
      <c r="N12">
        <f>H12</f>
        <v>-431.58</v>
      </c>
      <c r="O12">
        <f>D12</f>
        <v>556.76</v>
      </c>
      <c r="P12">
        <f>I12</f>
        <v>4000.28</v>
      </c>
      <c r="Q12">
        <f>F13/10</f>
        <v>0.55999999999999994</v>
      </c>
      <c r="R12">
        <f>H13</f>
        <v>1.57</v>
      </c>
      <c r="S12">
        <v>0</v>
      </c>
      <c r="T12">
        <f>I13</f>
        <v>1.07</v>
      </c>
      <c r="V12" s="21" t="s">
        <v>465</v>
      </c>
    </row>
    <row r="13" spans="1:29">
      <c r="F13" s="22">
        <v>5.6</v>
      </c>
      <c r="G13" s="22"/>
      <c r="H13" s="22">
        <v>1.57</v>
      </c>
      <c r="I13" s="22">
        <v>1.07</v>
      </c>
    </row>
    <row r="14" spans="1:29">
      <c r="A14" t="s">
        <v>68</v>
      </c>
      <c r="B14">
        <v>1.6</v>
      </c>
      <c r="D14" s="21">
        <v>2577.5700000000002</v>
      </c>
      <c r="F14" s="22">
        <v>-20.6</v>
      </c>
      <c r="G14">
        <f>F14+J14</f>
        <v>-1.0736699999999999</v>
      </c>
      <c r="H14" s="22">
        <v>-484.44</v>
      </c>
      <c r="I14" s="22">
        <v>3999.39</v>
      </c>
      <c r="J14" s="10">
        <f>-2.92657--22.4529</f>
        <v>19.526330000000002</v>
      </c>
      <c r="K14" t="s">
        <v>466</v>
      </c>
      <c r="L14" s="46">
        <v>4000</v>
      </c>
      <c r="M14" s="46">
        <v>0</v>
      </c>
      <c r="N14" s="46">
        <v>0</v>
      </c>
      <c r="O14" s="46">
        <v>1670</v>
      </c>
      <c r="P14" s="46">
        <v>4000</v>
      </c>
      <c r="Q14" s="46">
        <v>0</v>
      </c>
      <c r="R14" s="46">
        <v>0</v>
      </c>
      <c r="S14" s="46">
        <v>0</v>
      </c>
      <c r="T14" s="46">
        <v>0</v>
      </c>
      <c r="V14" s="21" t="s">
        <v>467</v>
      </c>
    </row>
    <row r="15" spans="1:29">
      <c r="F15" s="22">
        <v>0.62</v>
      </c>
      <c r="H15" s="22">
        <v>1.05</v>
      </c>
      <c r="I15" s="22">
        <v>2.41</v>
      </c>
    </row>
    <row r="16" spans="1:29">
      <c r="A16" t="s">
        <v>134</v>
      </c>
      <c r="B16">
        <v>1.4</v>
      </c>
      <c r="D16" s="21">
        <v>1726.77</v>
      </c>
      <c r="F16" s="22">
        <v>-28.63</v>
      </c>
      <c r="G16">
        <f>F16+J16</f>
        <v>0.52755000000000152</v>
      </c>
      <c r="H16" s="22">
        <v>-495.71</v>
      </c>
      <c r="I16" s="22">
        <v>3999.5</v>
      </c>
      <c r="J16" s="10">
        <f>1.19965--27.9579</f>
        <v>29.157550000000001</v>
      </c>
      <c r="L16">
        <v>4000</v>
      </c>
      <c r="M16">
        <f>G16/10-0.02</f>
        <v>3.2755000000000145E-2</v>
      </c>
      <c r="N16">
        <f>H16</f>
        <v>-495.71</v>
      </c>
      <c r="O16">
        <f>D16</f>
        <v>1726.77</v>
      </c>
      <c r="P16">
        <f>I16</f>
        <v>3999.5</v>
      </c>
      <c r="Q16">
        <f>F17/10</f>
        <v>0.13</v>
      </c>
      <c r="R16">
        <f>H17</f>
        <v>0.51</v>
      </c>
      <c r="S16">
        <v>0</v>
      </c>
      <c r="T16">
        <f>I17</f>
        <v>1.19</v>
      </c>
      <c r="U16" t="s">
        <v>468</v>
      </c>
      <c r="V16" s="21" t="s">
        <v>469</v>
      </c>
    </row>
    <row r="17" spans="1:22">
      <c r="F17" s="22">
        <v>1.3</v>
      </c>
      <c r="H17" s="22">
        <v>0.51</v>
      </c>
      <c r="I17" s="22">
        <v>1.19</v>
      </c>
    </row>
    <row r="18" spans="1:22">
      <c r="A18" t="s">
        <v>424</v>
      </c>
      <c r="B18">
        <v>1.2</v>
      </c>
      <c r="D18" s="21">
        <v>1087.4100000000001</v>
      </c>
      <c r="F18" s="22">
        <v>24.18</v>
      </c>
      <c r="G18">
        <f>F18+J18</f>
        <v>69.355500000000006</v>
      </c>
      <c r="H18" s="22">
        <v>-509.62</v>
      </c>
      <c r="I18" s="22">
        <v>4000.55</v>
      </c>
      <c r="J18" s="10">
        <f>72.3008-27.1253</f>
        <v>45.1755</v>
      </c>
      <c r="K18" t="s">
        <v>470</v>
      </c>
      <c r="L18">
        <v>4000</v>
      </c>
      <c r="M18" s="46">
        <f>G18/10+1</f>
        <v>7.935550000000001</v>
      </c>
      <c r="N18">
        <f>H18</f>
        <v>-509.62</v>
      </c>
      <c r="O18">
        <f>D18</f>
        <v>1087.4100000000001</v>
      </c>
      <c r="P18">
        <f>I18</f>
        <v>4000.55</v>
      </c>
      <c r="Q18">
        <f>F19/10</f>
        <v>5.6999999999999995E-2</v>
      </c>
      <c r="R18">
        <f>H19</f>
        <v>0.43</v>
      </c>
      <c r="S18">
        <v>0</v>
      </c>
      <c r="T18">
        <f>I19</f>
        <v>3.18</v>
      </c>
      <c r="V18" s="21" t="s">
        <v>471</v>
      </c>
    </row>
    <row r="19" spans="1:22">
      <c r="F19" s="22">
        <v>0.56999999999999995</v>
      </c>
      <c r="H19" s="22">
        <v>0.43</v>
      </c>
      <c r="I19" s="22">
        <v>3.18</v>
      </c>
    </row>
    <row r="20" spans="1:22">
      <c r="A20" t="s">
        <v>426</v>
      </c>
      <c r="B20">
        <v>1.1499999999999999</v>
      </c>
      <c r="D20" s="21">
        <v>957.07</v>
      </c>
      <c r="F20" s="22">
        <v>91.68</v>
      </c>
      <c r="G20">
        <f>F20+J20</f>
        <v>144.8742</v>
      </c>
      <c r="H20" s="22">
        <v>-512.73</v>
      </c>
      <c r="I20" s="22">
        <v>3999.99</v>
      </c>
      <c r="J20" s="10">
        <f>142.768-89.5738</f>
        <v>53.194199999999995</v>
      </c>
      <c r="K20" t="s">
        <v>472</v>
      </c>
      <c r="L20">
        <v>4000</v>
      </c>
      <c r="M20" s="46">
        <f>G20/10+0.6</f>
        <v>15.08742</v>
      </c>
      <c r="N20">
        <f>H20</f>
        <v>-512.73</v>
      </c>
      <c r="O20">
        <f>D20</f>
        <v>957.07</v>
      </c>
      <c r="P20">
        <f>I20</f>
        <v>3999.99</v>
      </c>
      <c r="Q20">
        <f>F21/10</f>
        <v>0.11599999999999999</v>
      </c>
      <c r="R20">
        <f>H21</f>
        <v>0.28999999999999998</v>
      </c>
      <c r="S20">
        <v>0</v>
      </c>
      <c r="T20">
        <f>I21</f>
        <v>1.21</v>
      </c>
      <c r="V20" s="21" t="s">
        <v>473</v>
      </c>
    </row>
    <row r="21" spans="1:22">
      <c r="F21" s="22">
        <v>1.1599999999999999</v>
      </c>
      <c r="H21" s="22">
        <v>0.28999999999999998</v>
      </c>
      <c r="I21" s="22">
        <v>1.21</v>
      </c>
    </row>
    <row r="22" spans="1:22">
      <c r="A22" t="s">
        <v>428</v>
      </c>
      <c r="B22">
        <v>1.1000000000000001</v>
      </c>
      <c r="D22" s="21">
        <v>837.59</v>
      </c>
      <c r="F22" s="22">
        <v>226.41</v>
      </c>
      <c r="G22">
        <f>F22+J22</f>
        <v>284.18700000000001</v>
      </c>
      <c r="H22" s="22">
        <v>-511.08</v>
      </c>
      <c r="I22" s="22">
        <v>4000.42</v>
      </c>
      <c r="J22" s="10">
        <f>297.911-240.134</f>
        <v>57.777000000000015</v>
      </c>
      <c r="L22">
        <v>4000</v>
      </c>
      <c r="M22" s="46">
        <f>G22/10+0.3</f>
        <v>28.718700000000002</v>
      </c>
      <c r="N22">
        <f>H22</f>
        <v>-511.08</v>
      </c>
      <c r="O22">
        <f>D22</f>
        <v>837.59</v>
      </c>
      <c r="P22">
        <f>I22</f>
        <v>4000.42</v>
      </c>
      <c r="Q22">
        <f>F23/10</f>
        <v>0.10100000000000001</v>
      </c>
      <c r="R22">
        <f>H23</f>
        <v>0.47</v>
      </c>
      <c r="S22">
        <v>0</v>
      </c>
      <c r="T22">
        <f>I23</f>
        <v>1.63</v>
      </c>
      <c r="V22" s="21" t="s">
        <v>474</v>
      </c>
    </row>
    <row r="23" spans="1:22">
      <c r="F23" s="22">
        <v>1.01</v>
      </c>
      <c r="H23" s="22">
        <v>0.47</v>
      </c>
      <c r="I23" s="22">
        <v>1.63</v>
      </c>
    </row>
    <row r="24" spans="1:22">
      <c r="A24" t="s">
        <v>430</v>
      </c>
      <c r="B24">
        <v>1.05</v>
      </c>
      <c r="D24" s="21">
        <v>728.48</v>
      </c>
      <c r="F24" s="22">
        <v>487.71</v>
      </c>
      <c r="G24">
        <f>F24+J24</f>
        <v>556.2829999999999</v>
      </c>
      <c r="H24" s="22">
        <v>-499.6</v>
      </c>
      <c r="I24" s="22">
        <v>4000.97</v>
      </c>
      <c r="J24" s="10">
        <f>534.525-465.952</f>
        <v>68.572999999999979</v>
      </c>
      <c r="L24">
        <v>4000</v>
      </c>
      <c r="M24">
        <f>G24/10</f>
        <v>55.628299999999989</v>
      </c>
      <c r="N24">
        <f>H24</f>
        <v>-499.6</v>
      </c>
      <c r="O24">
        <f>D24</f>
        <v>728.48</v>
      </c>
      <c r="P24">
        <f>I24</f>
        <v>4000.97</v>
      </c>
      <c r="Q24">
        <f>F25/10</f>
        <v>0.51100000000000001</v>
      </c>
      <c r="R24">
        <f>H25</f>
        <v>0.34</v>
      </c>
      <c r="S24">
        <v>0</v>
      </c>
      <c r="T24">
        <f>I25</f>
        <v>0.59</v>
      </c>
      <c r="V24" s="21" t="s">
        <v>475</v>
      </c>
    </row>
    <row r="25" spans="1:22">
      <c r="A25" t="s">
        <v>1</v>
      </c>
      <c r="F25" s="22">
        <v>5.1100000000000003</v>
      </c>
      <c r="H25" s="22">
        <v>0.34</v>
      </c>
      <c r="I25" s="22">
        <v>0.59</v>
      </c>
    </row>
    <row r="26" spans="1:22">
      <c r="A26" t="s">
        <v>432</v>
      </c>
      <c r="B26">
        <v>1.075</v>
      </c>
      <c r="D26" s="21">
        <v>781.77</v>
      </c>
      <c r="F26" s="22">
        <v>331.34</v>
      </c>
      <c r="G26">
        <f>F26+J26</f>
        <v>398.12599999999998</v>
      </c>
      <c r="H26" s="22">
        <v>-506.77</v>
      </c>
      <c r="I26" s="22">
        <v>4000.3</v>
      </c>
      <c r="J26" s="10">
        <f>397.965-331.179</f>
        <v>66.786000000000001</v>
      </c>
      <c r="L26">
        <v>4000</v>
      </c>
      <c r="M26">
        <f>G26/10</f>
        <v>39.812599999999996</v>
      </c>
      <c r="N26">
        <f>H26</f>
        <v>-506.77</v>
      </c>
      <c r="O26">
        <f>D26</f>
        <v>781.77</v>
      </c>
      <c r="P26">
        <f>I26</f>
        <v>4000.3</v>
      </c>
      <c r="Q26">
        <f>F27/10</f>
        <v>0.16299999999999998</v>
      </c>
      <c r="R26">
        <f>H27</f>
        <v>0.55000000000000004</v>
      </c>
      <c r="S26">
        <v>0</v>
      </c>
      <c r="T26">
        <f>I27</f>
        <v>1.1499999999999999</v>
      </c>
      <c r="V26" s="21" t="s">
        <v>476</v>
      </c>
    </row>
    <row r="27" spans="1:22">
      <c r="F27" s="22">
        <v>1.63</v>
      </c>
      <c r="H27" s="22">
        <v>0.55000000000000004</v>
      </c>
      <c r="I27" s="22">
        <v>1.1499999999999999</v>
      </c>
    </row>
    <row r="28" spans="1:22">
      <c r="A28" t="s">
        <v>178</v>
      </c>
      <c r="B28" t="s">
        <v>477</v>
      </c>
    </row>
    <row r="31" spans="1:22">
      <c r="A31" t="s">
        <v>216</v>
      </c>
      <c r="B31" t="s">
        <v>90</v>
      </c>
      <c r="C31" t="s">
        <v>91</v>
      </c>
      <c r="D31" t="s">
        <v>12</v>
      </c>
      <c r="E31" t="s">
        <v>92</v>
      </c>
      <c r="F31" t="s">
        <v>93</v>
      </c>
      <c r="G31" t="s">
        <v>13</v>
      </c>
      <c r="H31" t="s">
        <v>14</v>
      </c>
      <c r="I31" t="s">
        <v>15</v>
      </c>
      <c r="J31" t="s">
        <v>16</v>
      </c>
      <c r="K31" t="s">
        <v>102</v>
      </c>
      <c r="M31" s="83"/>
      <c r="N31" s="83"/>
      <c r="O31" s="83"/>
      <c r="P31" s="83"/>
      <c r="Q31" s="83"/>
      <c r="R31" s="83"/>
      <c r="S31" s="83"/>
      <c r="T31" s="83"/>
    </row>
    <row r="32" spans="1:22">
      <c r="A32" t="s">
        <v>44</v>
      </c>
      <c r="B32">
        <v>1.3</v>
      </c>
      <c r="D32" s="21">
        <v>1382.55</v>
      </c>
      <c r="F32" s="25">
        <v>-34.26</v>
      </c>
      <c r="G32">
        <f>F32+J32</f>
        <v>-9.8599999999997578E-2</v>
      </c>
      <c r="H32" s="25">
        <v>-521.54</v>
      </c>
      <c r="I32" s="25">
        <v>3000.3</v>
      </c>
      <c r="J32">
        <f>-6.4335--40.5949</f>
        <v>34.1614</v>
      </c>
      <c r="L32">
        <v>3000</v>
      </c>
      <c r="M32">
        <f>G32/10</f>
        <v>-9.8599999999997578E-3</v>
      </c>
      <c r="N32">
        <f>H32</f>
        <v>-521.54</v>
      </c>
      <c r="O32">
        <f>D32</f>
        <v>1382.55</v>
      </c>
      <c r="P32">
        <f>I32</f>
        <v>3000.3</v>
      </c>
      <c r="Q32">
        <f>F33/10</f>
        <v>7.1999999999999995E-2</v>
      </c>
      <c r="R32">
        <f>H33</f>
        <v>0.32</v>
      </c>
      <c r="S32" s="46">
        <v>0</v>
      </c>
      <c r="T32" s="46">
        <v>0</v>
      </c>
      <c r="V32" s="21" t="s">
        <v>478</v>
      </c>
    </row>
    <row r="33" spans="1:22">
      <c r="F33" s="25">
        <v>0.72</v>
      </c>
      <c r="H33" s="25">
        <v>0.32</v>
      </c>
      <c r="I33" s="25">
        <v>1.32</v>
      </c>
    </row>
    <row r="34" spans="1:22">
      <c r="A34" t="s">
        <v>46</v>
      </c>
      <c r="B34">
        <v>1</v>
      </c>
      <c r="D34" s="21">
        <v>629.29</v>
      </c>
      <c r="F34" s="25">
        <v>867.13</v>
      </c>
      <c r="G34">
        <f>F34+J34</f>
        <v>939.68400000000008</v>
      </c>
      <c r="H34" s="25">
        <v>-490.38</v>
      </c>
      <c r="I34" s="25">
        <v>2999.29</v>
      </c>
      <c r="J34">
        <f>951.638-879.084</f>
        <v>72.554000000000087</v>
      </c>
      <c r="L34">
        <v>3000</v>
      </c>
      <c r="M34">
        <f>G34/10</f>
        <v>93.968400000000003</v>
      </c>
      <c r="N34">
        <f>H34</f>
        <v>-490.38</v>
      </c>
      <c r="O34">
        <f>D34</f>
        <v>629.29</v>
      </c>
      <c r="P34">
        <f>I34</f>
        <v>2999.29</v>
      </c>
      <c r="Q34">
        <f>F35/10</f>
        <v>0.22900000000000001</v>
      </c>
      <c r="R34">
        <f>H35</f>
        <v>0.72</v>
      </c>
      <c r="S34">
        <v>0</v>
      </c>
      <c r="T34">
        <f>I35</f>
        <v>0.69</v>
      </c>
      <c r="V34" s="21" t="s">
        <v>479</v>
      </c>
    </row>
    <row r="35" spans="1:22">
      <c r="F35" s="25">
        <v>2.29</v>
      </c>
      <c r="H35" s="25">
        <v>0.72</v>
      </c>
      <c r="I35" s="25">
        <v>0.69</v>
      </c>
    </row>
    <row r="36" spans="1:22">
      <c r="A36" t="s">
        <v>48</v>
      </c>
      <c r="B36">
        <v>0.98</v>
      </c>
      <c r="D36" s="21">
        <v>592.28</v>
      </c>
      <c r="F36" s="25">
        <v>1115.03</v>
      </c>
      <c r="G36">
        <f>F36+J36</f>
        <v>1189.08</v>
      </c>
      <c r="H36" s="25">
        <v>-477</v>
      </c>
      <c r="I36" s="25">
        <v>3000.24</v>
      </c>
      <c r="J36">
        <f>1154.8-1080.75</f>
        <v>74.049999999999955</v>
      </c>
      <c r="K36" t="s">
        <v>480</v>
      </c>
    </row>
    <row r="37" spans="1:22">
      <c r="F37" s="25">
        <v>4.97</v>
      </c>
      <c r="H37" s="25">
        <v>0.3</v>
      </c>
      <c r="I37" s="25">
        <v>1.1299999999999999</v>
      </c>
    </row>
    <row r="38" spans="1:22">
      <c r="A38" t="s">
        <v>217</v>
      </c>
      <c r="B38">
        <v>1.1499999999999999</v>
      </c>
      <c r="D38" s="21">
        <v>957.07</v>
      </c>
      <c r="F38" s="25">
        <v>54.86</v>
      </c>
      <c r="G38">
        <f>F38+J38</f>
        <v>105.24779999999998</v>
      </c>
      <c r="H38" s="25">
        <v>-529.38</v>
      </c>
      <c r="I38" s="25">
        <v>2999.71</v>
      </c>
      <c r="J38">
        <f>106.1-55.7122</f>
        <v>50.387799999999991</v>
      </c>
      <c r="L38">
        <v>3000</v>
      </c>
      <c r="M38" s="46">
        <f>11</f>
        <v>11</v>
      </c>
      <c r="N38">
        <f>H38</f>
        <v>-529.38</v>
      </c>
      <c r="O38">
        <f>D38</f>
        <v>957.07</v>
      </c>
      <c r="P38">
        <f>I38</f>
        <v>2999.71</v>
      </c>
      <c r="Q38">
        <f>F39/10</f>
        <v>0.17199999999999999</v>
      </c>
      <c r="R38">
        <f>H39</f>
        <v>0.48</v>
      </c>
      <c r="S38">
        <v>0</v>
      </c>
      <c r="T38">
        <f>I39</f>
        <v>1.73</v>
      </c>
      <c r="V38" s="21" t="s">
        <v>481</v>
      </c>
    </row>
    <row r="39" spans="1:22">
      <c r="F39" s="25">
        <v>1.72</v>
      </c>
      <c r="H39" s="25">
        <v>0.48</v>
      </c>
      <c r="I39" s="25">
        <v>1.73</v>
      </c>
    </row>
    <row r="40" spans="1:22">
      <c r="A40" t="s">
        <v>223</v>
      </c>
      <c r="B40">
        <v>1.1000000000000001</v>
      </c>
      <c r="D40" s="21">
        <v>837.59</v>
      </c>
      <c r="F40" s="25">
        <v>169.77</v>
      </c>
      <c r="G40">
        <f>F40+J40</f>
        <v>226.107</v>
      </c>
      <c r="H40" s="25">
        <v>-527.74</v>
      </c>
      <c r="I40" s="25">
        <v>2999.79</v>
      </c>
      <c r="J40">
        <f>236.515-180.178</f>
        <v>56.336999999999989</v>
      </c>
      <c r="L40">
        <v>3000</v>
      </c>
      <c r="M40" s="46">
        <f>G40/10+F41/10</f>
        <v>22.934700000000003</v>
      </c>
      <c r="N40">
        <f>H40</f>
        <v>-527.74</v>
      </c>
      <c r="O40">
        <f>D40</f>
        <v>837.59</v>
      </c>
      <c r="P40">
        <f>I40</f>
        <v>2999.79</v>
      </c>
      <c r="Q40">
        <f>F41/10</f>
        <v>0.32400000000000001</v>
      </c>
      <c r="R40">
        <f>H41</f>
        <v>0.39</v>
      </c>
      <c r="S40">
        <v>0</v>
      </c>
      <c r="T40">
        <f>I41</f>
        <v>0.97</v>
      </c>
      <c r="V40" s="45" t="s">
        <v>482</v>
      </c>
    </row>
    <row r="41" spans="1:22">
      <c r="F41" s="25">
        <v>3.24</v>
      </c>
      <c r="H41" s="25">
        <v>0.39</v>
      </c>
      <c r="I41" s="25">
        <v>0.97</v>
      </c>
    </row>
    <row r="42" spans="1:22">
      <c r="A42" t="s">
        <v>436</v>
      </c>
      <c r="B42">
        <v>1.05</v>
      </c>
      <c r="D42" s="21">
        <v>728.48</v>
      </c>
      <c r="F42" s="25">
        <v>411.22</v>
      </c>
      <c r="G42">
        <f>F42+J42</f>
        <v>478.12100000000004</v>
      </c>
      <c r="H42" s="25">
        <v>-517.22</v>
      </c>
      <c r="I42" s="25">
        <v>3000.04</v>
      </c>
      <c r="J42">
        <f>484.344-417.443</f>
        <v>66.90100000000001</v>
      </c>
      <c r="L42">
        <v>3000</v>
      </c>
      <c r="M42" s="46">
        <f>47.3</f>
        <v>47.3</v>
      </c>
      <c r="N42">
        <f>H42</f>
        <v>-517.22</v>
      </c>
      <c r="O42">
        <f>D42</f>
        <v>728.48</v>
      </c>
      <c r="P42">
        <f>I42</f>
        <v>3000.04</v>
      </c>
      <c r="Q42">
        <f>F43/10</f>
        <v>0.373</v>
      </c>
      <c r="R42">
        <f>H43</f>
        <v>0.72</v>
      </c>
      <c r="S42">
        <v>0</v>
      </c>
      <c r="T42">
        <f>I43</f>
        <v>0.35</v>
      </c>
      <c r="V42" s="45" t="s">
        <v>483</v>
      </c>
    </row>
    <row r="43" spans="1:22">
      <c r="F43" s="25">
        <v>3.73</v>
      </c>
      <c r="H43" s="25">
        <v>0.72</v>
      </c>
      <c r="I43" s="25">
        <v>0.35</v>
      </c>
      <c r="M43" s="46"/>
    </row>
    <row r="44" spans="1:22">
      <c r="A44" t="s">
        <v>227</v>
      </c>
      <c r="B44" s="21">
        <v>1.075</v>
      </c>
      <c r="D44" s="21">
        <v>781.77</v>
      </c>
      <c r="F44" s="25">
        <v>273.44</v>
      </c>
      <c r="G44">
        <f>F44+J44</f>
        <v>335.75100000000003</v>
      </c>
      <c r="H44" s="25">
        <v>-523.85</v>
      </c>
      <c r="I44" s="25">
        <v>3000.47</v>
      </c>
      <c r="J44">
        <f>357.067-294.756</f>
        <v>62.311000000000035</v>
      </c>
      <c r="L44">
        <v>3000</v>
      </c>
      <c r="M44">
        <f>G44/10</f>
        <v>33.575100000000006</v>
      </c>
      <c r="N44">
        <f>H44</f>
        <v>-523.85</v>
      </c>
      <c r="O44">
        <f>D44</f>
        <v>781.77</v>
      </c>
      <c r="P44">
        <f>I44</f>
        <v>3000.47</v>
      </c>
      <c r="Q44">
        <f>F45/10</f>
        <v>0.14399999999999999</v>
      </c>
      <c r="R44">
        <f>H45</f>
        <v>0.52</v>
      </c>
      <c r="S44">
        <v>0</v>
      </c>
      <c r="T44">
        <f>I45</f>
        <v>1.35</v>
      </c>
      <c r="V44" s="45" t="s">
        <v>484</v>
      </c>
    </row>
    <row r="45" spans="1:22">
      <c r="F45" s="25">
        <v>1.44</v>
      </c>
      <c r="H45" s="25">
        <v>0.52</v>
      </c>
      <c r="I45" s="25">
        <v>1.35</v>
      </c>
    </row>
    <row r="46" spans="1:22">
      <c r="A46" t="s">
        <v>175</v>
      </c>
      <c r="B46">
        <v>1.2</v>
      </c>
      <c r="D46" s="21">
        <v>1087.4100000000001</v>
      </c>
      <c r="F46" s="25">
        <v>-0.42</v>
      </c>
      <c r="G46">
        <f>F46+J46</f>
        <v>42.393949999999997</v>
      </c>
      <c r="H46" s="25">
        <v>-526.75</v>
      </c>
      <c r="I46" s="25">
        <v>3000.39</v>
      </c>
      <c r="J46">
        <f>39.0229--3.79105</f>
        <v>42.813949999999998</v>
      </c>
      <c r="L46">
        <v>3000</v>
      </c>
      <c r="M46" s="46">
        <f>4.7</f>
        <v>4.7</v>
      </c>
      <c r="N46">
        <f>H46</f>
        <v>-526.75</v>
      </c>
      <c r="O46">
        <f>D46</f>
        <v>1087.4100000000001</v>
      </c>
      <c r="P46">
        <f>I46</f>
        <v>3000.39</v>
      </c>
      <c r="Q46">
        <f>F47/10</f>
        <v>0.11799999999999999</v>
      </c>
      <c r="R46">
        <f>H47</f>
        <v>0.47</v>
      </c>
      <c r="S46">
        <v>0</v>
      </c>
      <c r="T46">
        <f>I47</f>
        <v>0.9</v>
      </c>
      <c r="V46" s="21" t="s">
        <v>485</v>
      </c>
    </row>
    <row r="47" spans="1:22">
      <c r="F47" s="25">
        <v>1.18</v>
      </c>
      <c r="H47" s="25">
        <v>0.47</v>
      </c>
      <c r="I47" s="25">
        <v>0.9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N203"/>
  <sheetViews>
    <sheetView workbookViewId="0">
      <selection activeCell="F15" sqref="F15"/>
    </sheetView>
  </sheetViews>
  <sheetFormatPr baseColWidth="10" defaultRowHeight="16"/>
  <cols>
    <col min="1" max="1" width="11.83203125" style="89" bestFit="1" customWidth="1"/>
  </cols>
  <sheetData>
    <row r="1" spans="1:14">
      <c r="A1" t="s">
        <v>126</v>
      </c>
      <c r="B1" t="s">
        <v>486</v>
      </c>
      <c r="C1" t="s">
        <v>126</v>
      </c>
      <c r="D1" t="s">
        <v>487</v>
      </c>
    </row>
    <row r="2" spans="1:14">
      <c r="A2">
        <v>-2732737054.39217</v>
      </c>
      <c r="B2">
        <v>1935.15193692819</v>
      </c>
      <c r="C2">
        <v>-2167062436.2923598</v>
      </c>
      <c r="D2">
        <v>2349.8214546629401</v>
      </c>
      <c r="G2" t="s">
        <v>488</v>
      </c>
    </row>
    <row r="3" spans="1:14">
      <c r="A3">
        <v>-2702469422.2487102</v>
      </c>
      <c r="B3">
        <v>1937.9918303859699</v>
      </c>
      <c r="C3">
        <v>-2127023312.6509199</v>
      </c>
      <c r="D3">
        <v>2353.4398174910102</v>
      </c>
      <c r="G3" s="64" t="s">
        <v>489</v>
      </c>
    </row>
    <row r="4" spans="1:14">
      <c r="A4">
        <v>-2671354871.46806</v>
      </c>
      <c r="B4">
        <v>1940.85469668374</v>
      </c>
      <c r="C4">
        <v>-2086043945.1623399</v>
      </c>
      <c r="D4">
        <v>2357.0877147218898</v>
      </c>
      <c r="G4" s="64" t="s">
        <v>490</v>
      </c>
    </row>
    <row r="5" spans="1:14">
      <c r="A5">
        <v>-2639375995.06317</v>
      </c>
      <c r="B5">
        <v>1943.74080579625</v>
      </c>
      <c r="C5">
        <v>-2044105648.85184</v>
      </c>
      <c r="D5">
        <v>2360.7654964089302</v>
      </c>
      <c r="G5" s="64" t="s">
        <v>491</v>
      </c>
      <c r="K5" t="s">
        <v>492</v>
      </c>
      <c r="L5" t="s">
        <v>493</v>
      </c>
      <c r="N5" t="s">
        <v>494</v>
      </c>
    </row>
    <row r="6" spans="1:14">
      <c r="A6">
        <v>-2606515011.1710901</v>
      </c>
      <c r="B6">
        <v>1946.65043185694</v>
      </c>
      <c r="C6">
        <v>-2001189341.3773701</v>
      </c>
      <c r="D6">
        <v>2364.4735180411099</v>
      </c>
      <c r="G6" s="64" t="s">
        <v>495</v>
      </c>
    </row>
    <row r="7" spans="1:14">
      <c r="A7">
        <v>-2572753754.1636901</v>
      </c>
      <c r="B7">
        <v>1949.5838532371499</v>
      </c>
      <c r="C7">
        <v>-1957275533.65944</v>
      </c>
      <c r="D7">
        <v>2368.2121406473102</v>
      </c>
      <c r="G7" s="64" t="s">
        <v>496</v>
      </c>
    </row>
    <row r="8" spans="1:14">
      <c r="A8">
        <v>-2538073665.5246601</v>
      </c>
      <c r="B8">
        <v>1952.54135262711</v>
      </c>
      <c r="C8">
        <v>-1912344320.26491</v>
      </c>
      <c r="D8">
        <v>2371.98173090303</v>
      </c>
    </row>
    <row r="9" spans="1:14">
      <c r="A9">
        <v>-2502455784.4857798</v>
      </c>
      <c r="B9">
        <v>1955.5232171187799</v>
      </c>
      <c r="C9">
        <v>-1866375369.53794</v>
      </c>
      <c r="D9">
        <v>2375.7826612394801</v>
      </c>
    </row>
    <row r="10" spans="1:14">
      <c r="A10">
        <v>-2465880738.4156899</v>
      </c>
      <c r="B10">
        <v>1958.5297382905501</v>
      </c>
      <c r="C10">
        <v>-1819347913.47036</v>
      </c>
      <c r="D10">
        <v>2379.6153099552098</v>
      </c>
      <c r="G10" t="s">
        <v>497</v>
      </c>
      <c r="H10" t="s">
        <v>498</v>
      </c>
      <c r="J10" t="s">
        <v>499</v>
      </c>
    </row>
    <row r="11" spans="1:14">
      <c r="A11">
        <v>-2428328732.9537001</v>
      </c>
      <c r="B11">
        <v>1961.5612122939599</v>
      </c>
      <c r="C11">
        <v>-1771240737.3041301</v>
      </c>
      <c r="D11">
        <v>2383.48006133032</v>
      </c>
      <c r="G11" t="s">
        <v>500</v>
      </c>
      <c r="H11" t="s">
        <v>501</v>
      </c>
      <c r="J11" t="s">
        <v>502</v>
      </c>
    </row>
    <row r="12" spans="1:14">
      <c r="A12">
        <v>-2389779541.8812599</v>
      </c>
      <c r="B12">
        <v>1964.6179399422599</v>
      </c>
      <c r="C12">
        <v>-1722032168.85783</v>
      </c>
      <c r="D12">
        <v>2387.37730574333</v>
      </c>
    </row>
    <row r="13" spans="1:14">
      <c r="A13">
        <v>-2350212496.7234201</v>
      </c>
      <c r="B13">
        <v>1967.70022680122</v>
      </c>
      <c r="C13">
        <v>-1671700067.5692301</v>
      </c>
      <c r="D13">
        <v>2391.3074397906998</v>
      </c>
      <c r="G13" t="s">
        <v>503</v>
      </c>
      <c r="H13" t="s">
        <v>504</v>
      </c>
    </row>
    <row r="14" spans="1:14">
      <c r="A14">
        <v>-2309606476.0721502</v>
      </c>
      <c r="B14">
        <v>1970.80838328186</v>
      </c>
      <c r="C14">
        <v>-1620221813.2454</v>
      </c>
      <c r="D14">
        <v>2395.2708664092402</v>
      </c>
    </row>
    <row r="15" spans="1:14">
      <c r="A15">
        <v>-2267939894.6234999</v>
      </c>
      <c r="B15">
        <v>1973.9427247354499</v>
      </c>
      <c r="C15">
        <v>-1567574294.5118201</v>
      </c>
      <c r="D15">
        <v>2399.2679950012998</v>
      </c>
      <c r="G15" t="s">
        <v>505</v>
      </c>
    </row>
    <row r="16" spans="1:14">
      <c r="A16">
        <v>-2225190691.9198999</v>
      </c>
      <c r="B16">
        <v>1977.10357155067</v>
      </c>
      <c r="C16">
        <v>-1513733896.95155</v>
      </c>
      <c r="D16">
        <v>2403.2992415629301</v>
      </c>
    </row>
    <row r="17" spans="1:10">
      <c r="A17">
        <v>-2181336320.78898</v>
      </c>
      <c r="B17">
        <v>1980.29124925306</v>
      </c>
      <c r="C17">
        <v>-1458676490.9252</v>
      </c>
      <c r="D17">
        <v>2407.3650288150902</v>
      </c>
      <c r="G17" t="s">
        <v>506</v>
      </c>
      <c r="H17" t="s">
        <v>507</v>
      </c>
    </row>
    <row r="18" spans="1:10">
      <c r="A18">
        <v>-2136353735.4697399</v>
      </c>
      <c r="B18">
        <v>1983.50608860682</v>
      </c>
      <c r="C18">
        <v>-1402377419.0620899</v>
      </c>
      <c r="D18">
        <v>2411.4657863379098</v>
      </c>
    </row>
    <row r="19" spans="1:10">
      <c r="A19">
        <v>-2090219379.41682</v>
      </c>
      <c r="B19">
        <v>1986.7484257189899</v>
      </c>
      <c r="C19">
        <v>-1344811483.4130499</v>
      </c>
      <c r="D19">
        <v>2415.6019507082101</v>
      </c>
      <c r="G19" t="s">
        <v>508</v>
      </c>
      <c r="H19" t="s">
        <v>509</v>
      </c>
      <c r="I19" t="s">
        <v>510</v>
      </c>
      <c r="J19" t="s">
        <v>511</v>
      </c>
    </row>
    <row r="20" spans="1:10">
      <c r="A20">
        <v>-2042909172.7730601</v>
      </c>
      <c r="B20">
        <v>1990.01860214612</v>
      </c>
      <c r="C20">
        <v>-1285952932.2542801</v>
      </c>
      <c r="D20">
        <v>2419.77396564021</v>
      </c>
      <c r="G20" t="s">
        <v>512</v>
      </c>
      <c r="H20" t="s">
        <v>513</v>
      </c>
    </row>
    <row r="21" spans="1:10">
      <c r="A21">
        <v>-1994398499.50055</v>
      </c>
      <c r="B21">
        <v>1993.3169650034299</v>
      </c>
      <c r="C21">
        <v>-1225775446.53214</v>
      </c>
      <c r="D21">
        <v>2423.9822821297198</v>
      </c>
    </row>
    <row r="22" spans="1:10">
      <c r="A22">
        <v>-1944662194.15961</v>
      </c>
      <c r="B22">
        <v>1996.6438670766299</v>
      </c>
      <c r="C22">
        <v>-1164252125.9377999</v>
      </c>
      <c r="D22">
        <v>2428.2273586016599</v>
      </c>
    </row>
    <row r="23" spans="1:10">
      <c r="A23">
        <v>-1893674528.3252599</v>
      </c>
      <c r="B23">
        <v>1999.9996669364</v>
      </c>
      <c r="C23">
        <v>-1101355474.60062</v>
      </c>
      <c r="D23">
        <v>2432.50966106128</v>
      </c>
    </row>
    <row r="24" spans="1:10">
      <c r="A24">
        <v>-1841409196.63009</v>
      </c>
      <c r="B24">
        <v>2003.38472905556</v>
      </c>
      <c r="C24">
        <v>-1037057386.38862</v>
      </c>
      <c r="D24">
        <v>2436.82966324891</v>
      </c>
    </row>
    <row r="25" spans="1:10">
      <c r="A25">
        <v>-1787839302.42202</v>
      </c>
      <c r="B25">
        <v>2006.79942392917</v>
      </c>
      <c r="C25">
        <v>-971329129.80415905</v>
      </c>
      <c r="D25">
        <v>2441.1878467985598</v>
      </c>
    </row>
    <row r="26" spans="1:10">
      <c r="A26">
        <v>-1732937343.02542</v>
      </c>
      <c r="B26">
        <v>2010.24412819745</v>
      </c>
      <c r="C26">
        <v>-904141332.46238506</v>
      </c>
      <c r="D26">
        <v>2445.5847014003598</v>
      </c>
    </row>
    <row r="27" spans="1:10">
      <c r="A27">
        <v>-1676675194.59321</v>
      </c>
      <c r="B27">
        <v>2013.7192247717201</v>
      </c>
      <c r="C27">
        <v>-835463965.13959205</v>
      </c>
      <c r="D27">
        <v>2450.0207249669502</v>
      </c>
    </row>
    <row r="28" spans="1:10">
      <c r="A28">
        <v>-1619024096.53741</v>
      </c>
      <c r="B28">
        <v>2017.2251029634201</v>
      </c>
      <c r="C28">
        <v>-765266325.37841201</v>
      </c>
      <c r="D28">
        <v>2454.4964238039702</v>
      </c>
    </row>
    <row r="29" spans="1:10">
      <c r="A29">
        <v>-1559954635.5253201</v>
      </c>
      <c r="B29">
        <v>2020.76215861628</v>
      </c>
      <c r="C29">
        <v>-693517020.63608098</v>
      </c>
      <c r="D29">
        <v>2459.0123127848001</v>
      </c>
    </row>
    <row r="30" spans="1:10">
      <c r="A30">
        <v>-1499436729.02756</v>
      </c>
      <c r="B30">
        <v>2024.33079424174</v>
      </c>
      <c r="C30">
        <v>-620183950.96155798</v>
      </c>
      <c r="D30">
        <v>2463.56891552958</v>
      </c>
    </row>
    <row r="31" spans="1:10">
      <c r="A31">
        <v>-1437439608.4043801</v>
      </c>
      <c r="B31">
        <v>2027.93141915766</v>
      </c>
      <c r="C31">
        <v>-545234291.18708205</v>
      </c>
      <c r="D31">
        <v>2468.16676458866</v>
      </c>
    </row>
    <row r="32" spans="1:10">
      <c r="A32">
        <v>-1373931801.5157001</v>
      </c>
      <c r="B32">
        <v>2031.5644496305699</v>
      </c>
      <c r="C32">
        <v>-468634472.61883903</v>
      </c>
      <c r="D32">
        <v>2472.8064016306798</v>
      </c>
    </row>
    <row r="33" spans="1:4">
      <c r="A33">
        <v>-1308881114.8399601</v>
      </c>
      <c r="B33">
        <v>2035.23030902139</v>
      </c>
      <c r="C33">
        <v>-390350164.21116501</v>
      </c>
      <c r="D33">
        <v>2477.4883776353299</v>
      </c>
    </row>
    <row r="34" spans="1:4">
      <c r="A34">
        <v>-1242254615.0866399</v>
      </c>
      <c r="B34">
        <v>2038.92942793475</v>
      </c>
      <c r="C34">
        <v>-310346253.208184</v>
      </c>
      <c r="D34">
        <v>2482.2132530909798</v>
      </c>
    </row>
    <row r="35" spans="1:4">
      <c r="A35">
        <v>-1174018610.28615</v>
      </c>
      <c r="B35">
        <v>2042.6622443721201</v>
      </c>
      <c r="C35">
        <v>-228586825.23598799</v>
      </c>
      <c r="D35">
        <v>2486.9815981972502</v>
      </c>
    </row>
    <row r="36" spans="1:4">
      <c r="A36">
        <v>-1104138630.3411</v>
      </c>
      <c r="B36">
        <v>2046.42920388877</v>
      </c>
      <c r="C36">
        <v>-145035143.828174</v>
      </c>
      <c r="D36">
        <v>2491.7939930727598</v>
      </c>
    </row>
    <row r="37" spans="1:4">
      <c r="A37">
        <v>-1032579407.02143</v>
      </c>
      <c r="B37">
        <v>2050.2307597546801</v>
      </c>
      <c r="C37">
        <v>-59653629.366707601</v>
      </c>
      <c r="D37">
        <v>2496.6510279681302</v>
      </c>
    </row>
    <row r="38" spans="1:4">
      <c r="A38">
        <v>-959304853.38617504</v>
      </c>
      <c r="B38">
        <v>2054.0673731195302</v>
      </c>
      <c r="C38">
        <v>27596162.580369201</v>
      </c>
      <c r="D38">
        <v>2501.5533034844798</v>
      </c>
    </row>
    <row r="39" spans="1:4">
      <c r="A39">
        <v>-884278042.61335897</v>
      </c>
      <c r="B39">
        <v>2057.9395131818801</v>
      </c>
      <c r="C39">
        <v>116753563.54358999</v>
      </c>
      <c r="D39">
        <v>2506.5014307974202</v>
      </c>
    </row>
    <row r="40" spans="1:4">
      <c r="A40">
        <v>-807461186.21919894</v>
      </c>
      <c r="B40">
        <v>2061.8476573627299</v>
      </c>
      <c r="C40">
        <v>207858815.079072</v>
      </c>
      <c r="D40">
        <v>2511.4960318869398</v>
      </c>
    </row>
    <row r="41" spans="1:4">
      <c r="A41">
        <v>-728815611.64716899</v>
      </c>
      <c r="B41">
        <v>2065.7922914833998</v>
      </c>
      <c r="C41">
        <v>300953092.35821998</v>
      </c>
      <c r="D41">
        <v>2516.5377397731399</v>
      </c>
    </row>
    <row r="42" spans="1:4">
      <c r="A42">
        <v>-648301739.20654202</v>
      </c>
      <c r="B42">
        <v>2069.7739099481701</v>
      </c>
      <c r="C42">
        <v>396078528.441661</v>
      </c>
      <c r="D42">
        <v>2521.6271987581099</v>
      </c>
    </row>
    <row r="43" spans="1:4">
      <c r="A43">
        <v>-565879058.33946502</v>
      </c>
      <c r="B43">
        <v>2073.7930159314701</v>
      </c>
      <c r="C43">
        <v>493278239.25941002</v>
      </c>
      <c r="D43">
        <v>2526.7650646741299</v>
      </c>
    </row>
    <row r="44" spans="1:4">
      <c r="A44">
        <v>-481506103.19504797</v>
      </c>
      <c r="B44">
        <v>2077.8501215700398</v>
      </c>
      <c r="C44">
        <v>592596349.31994295</v>
      </c>
      <c r="D44">
        <v>2531.9520051383101</v>
      </c>
    </row>
    <row r="45" spans="1:4">
      <c r="A45">
        <v>-395140427.48768097</v>
      </c>
      <c r="B45">
        <v>2081.9457481600598</v>
      </c>
      <c r="C45">
        <v>694078018.17214596</v>
      </c>
      <c r="D45">
        <v>2537.1886998139798</v>
      </c>
    </row>
    <row r="46" spans="1:4">
      <c r="A46">
        <v>-306738578.61657202</v>
      </c>
      <c r="B46">
        <v>2086.0804263594</v>
      </c>
      <c r="C46">
        <v>797769467.64438999</v>
      </c>
      <c r="D46">
        <v>2542.4758406789401</v>
      </c>
    </row>
    <row r="47" spans="1:4">
      <c r="A47">
        <v>-216256071.02227601</v>
      </c>
      <c r="B47">
        <v>2090.25469639527</v>
      </c>
      <c r="C47">
        <v>903718009.88619006</v>
      </c>
      <c r="D47">
        <v>2547.8141323007699</v>
      </c>
    </row>
    <row r="48" spans="1:4">
      <c r="A48">
        <v>-123647358.75519399</v>
      </c>
      <c r="B48">
        <v>2094.4691082772601</v>
      </c>
      <c r="C48">
        <v>1011972076.23887</v>
      </c>
      <c r="D48">
        <v>2553.2042921195498</v>
      </c>
    </row>
    <row r="49" spans="1:4">
      <c r="A49">
        <v>-28865807.230211601</v>
      </c>
      <c r="B49">
        <v>2098.7242220160801</v>
      </c>
      <c r="C49">
        <v>1122581246.9623401</v>
      </c>
      <c r="D49">
        <v>2558.64705073807</v>
      </c>
    </row>
    <row r="50" spans="1:4">
      <c r="A50">
        <v>68136335.859317303</v>
      </c>
      <c r="B50">
        <v>2103.0206078480801</v>
      </c>
      <c r="C50">
        <v>1235596281.8463399</v>
      </c>
      <c r="D50">
        <v>2564.1431522197699</v>
      </c>
    </row>
    <row r="51" spans="1:4">
      <c r="A51">
        <v>167407970.49616301</v>
      </c>
      <c r="B51">
        <v>2107.3588464657701</v>
      </c>
      <c r="C51">
        <v>1351069151.7353201</v>
      </c>
      <c r="D51">
        <v>2569.6933543948198</v>
      </c>
    </row>
    <row r="52" spans="1:4">
      <c r="A52">
        <v>268999175.19105899</v>
      </c>
      <c r="B52">
        <v>2111.7395292545698</v>
      </c>
      <c r="C52">
        <v>1469053070.9974999</v>
      </c>
      <c r="D52">
        <v>2575.2984291743501</v>
      </c>
    </row>
    <row r="53" spans="1:4">
      <c r="A53">
        <v>372961238.761787</v>
      </c>
      <c r="B53">
        <v>2116.1632585358402</v>
      </c>
      <c r="C53">
        <v>1589602530.9693201</v>
      </c>
      <c r="D53">
        <v>2580.9591628732801</v>
      </c>
    </row>
    <row r="54" spans="1:4">
      <c r="A54">
        <v>479346693.070351</v>
      </c>
      <c r="B54">
        <v>2120.6306478165602</v>
      </c>
      <c r="C54">
        <v>1712773334.4081099</v>
      </c>
      <c r="D54">
        <v>2586.6763565419401</v>
      </c>
    </row>
    <row r="55" spans="1:4">
      <c r="A55">
        <v>588209346.75052297</v>
      </c>
      <c r="B55">
        <v>2125.14232204577</v>
      </c>
      <c r="C55">
        <v>1838622630.9867301</v>
      </c>
      <c r="D55">
        <v>2592.45082630669</v>
      </c>
    </row>
    <row r="56" spans="1:4">
      <c r="A56">
        <v>699604319.95884204</v>
      </c>
      <c r="B56">
        <v>2129.69891787798</v>
      </c>
      <c r="C56">
        <v>1967208953.8652599</v>
      </c>
      <c r="D56">
        <v>2598.28340372003</v>
      </c>
    </row>
    <row r="57" spans="1:4">
      <c r="A57">
        <v>813588080.18375099</v>
      </c>
      <c r="B57">
        <v>2134.3010839437702</v>
      </c>
      <c r="C57">
        <v>2098592257.37604</v>
      </c>
      <c r="D57">
        <v>2604.1749361202401</v>
      </c>
    </row>
    <row r="58" spans="1:4">
      <c r="A58">
        <v>930218479.14872706</v>
      </c>
      <c r="B58">
        <v>2138.9494811279101</v>
      </c>
      <c r="C58">
        <v>2232833955.8601198</v>
      </c>
      <c r="D58">
        <v>2610.1262870010601</v>
      </c>
    </row>
    <row r="59" spans="1:4">
      <c r="A59">
        <v>1049554790.84633</v>
      </c>
      <c r="B59">
        <v>2143.6447828550999</v>
      </c>
      <c r="C59">
        <v>2369996963.6937799</v>
      </c>
      <c r="D59">
        <v>2616.1383363916498</v>
      </c>
    </row>
    <row r="60" spans="1:4">
      <c r="A60">
        <v>1171657750.7420499</v>
      </c>
      <c r="B60">
        <v>2148.3876753835998</v>
      </c>
      <c r="C60">
        <v>2510145736.5462599</v>
      </c>
      <c r="D60">
        <v>2622.2119812471601</v>
      </c>
    </row>
    <row r="61" spans="1:4">
      <c r="A61">
        <v>1296589596.1877</v>
      </c>
      <c r="B61">
        <v>2153.1788581071</v>
      </c>
      <c r="C61">
        <v>2653346313.9105201</v>
      </c>
      <c r="D61">
        <v>2628.3481358502199</v>
      </c>
    </row>
    <row r="62" spans="1:4">
      <c r="A62">
        <v>1424414108.0859399</v>
      </c>
      <c r="B62">
        <v>2158.0190438650402</v>
      </c>
      <c r="C62">
        <v>2799666362.9509301</v>
      </c>
      <c r="D62">
        <v>2634.5477322238698</v>
      </c>
    </row>
    <row r="63" spans="1:4">
      <c r="A63">
        <v>1555196653.8490901</v>
      </c>
      <c r="B63">
        <v>2162.9089592615401</v>
      </c>
      <c r="C63">
        <v>2949175223.7133098</v>
      </c>
      <c r="D63">
        <v>2640.8117205559902</v>
      </c>
    </row>
    <row r="64" spans="1:4">
      <c r="A64">
        <v>1689004231.6968901</v>
      </c>
      <c r="B64">
        <v>2167.8493449934499</v>
      </c>
      <c r="C64">
        <v>3101943955.7444801</v>
      </c>
      <c r="D64">
        <v>2647.1410696360199</v>
      </c>
    </row>
    <row r="65" spans="1:4">
      <c r="A65">
        <v>1825905516.3396399</v>
      </c>
      <c r="B65">
        <v>2172.8409561876101</v>
      </c>
      <c r="C65">
        <v>3258045386.1702499</v>
      </c>
      <c r="D65">
        <v>2653.53676730394</v>
      </c>
    </row>
    <row r="66" spans="1:4">
      <c r="A66">
        <v>1965970906.09497</v>
      </c>
      <c r="B66">
        <v>2177.8845627477599</v>
      </c>
      <c r="C66">
        <v>3417554159.28266</v>
      </c>
      <c r="D66">
        <v>2659.99982091227</v>
      </c>
    </row>
    <row r="67" spans="1:4">
      <c r="A67">
        <v>2109272571.4882901</v>
      </c>
      <c r="B67">
        <v>2182.9809497113101</v>
      </c>
      <c r="C67">
        <v>3580546787.6894798</v>
      </c>
      <c r="D67">
        <v>2666.53125780135</v>
      </c>
    </row>
    <row r="68" spans="1:4">
      <c r="A68">
        <v>2255884505.3888698</v>
      </c>
      <c r="B68">
        <v>2188.13091761637</v>
      </c>
      <c r="C68">
        <v>3747101705.0804901</v>
      </c>
      <c r="D68">
        <v>2673.1321257883201</v>
      </c>
    </row>
    <row r="69" spans="1:4">
      <c r="A69">
        <v>2405882574.7356801</v>
      </c>
      <c r="B69">
        <v>2193.3352828794</v>
      </c>
      <c r="C69">
        <v>3917299320.6677699</v>
      </c>
      <c r="D69">
        <v>2679.8034936703698</v>
      </c>
    </row>
    <row r="70" spans="1:4">
      <c r="A70">
        <v>2559344573.9089599</v>
      </c>
      <c r="B70">
        <v>2198.5948781837201</v>
      </c>
      <c r="C70">
        <v>4091222075.35917</v>
      </c>
      <c r="D70">
        <v>2686.5464517426499</v>
      </c>
    </row>
    <row r="71" spans="1:4">
      <c r="A71">
        <v>2716350279.8059402</v>
      </c>
      <c r="B71">
        <v>2203.9105528793798</v>
      </c>
      <c r="C71">
        <v>4268954499.7263799</v>
      </c>
      <c r="D71">
        <v>2693.3621123313701</v>
      </c>
    </row>
    <row r="72" spans="1:4">
      <c r="A72">
        <v>2876981508.6812201</v>
      </c>
      <c r="B72">
        <v>2209.28317339469</v>
      </c>
      <c r="C72">
        <v>4450583273.8315496</v>
      </c>
      <c r="D72">
        <v>2700.2516103426401</v>
      </c>
    </row>
    <row r="73" spans="1:4">
      <c r="A73">
        <v>3041322174.8147402</v>
      </c>
      <c r="B73">
        <v>2214.7136236598199</v>
      </c>
      <c r="C73">
        <v>4636197288.9789696</v>
      </c>
      <c r="D73">
        <v>2707.2161038274899</v>
      </c>
    </row>
    <row r="74" spans="1:4">
      <c r="A74">
        <v>3209458351.0728998</v>
      </c>
      <c r="B74">
        <v>2220.20280554288</v>
      </c>
      <c r="C74">
        <v>4825887711.4608603</v>
      </c>
      <c r="D74">
        <v>2714.2567745637002</v>
      </c>
    </row>
    <row r="75" spans="1:4">
      <c r="A75">
        <v>3381478331.43085</v>
      </c>
      <c r="B75">
        <v>2225.7516392989801</v>
      </c>
      <c r="C75">
        <v>5019748048.3691196</v>
      </c>
      <c r="D75">
        <v>2721.3748286550499</v>
      </c>
    </row>
    <row r="76" spans="1:4">
      <c r="A76">
        <v>3557472695.5264101</v>
      </c>
      <c r="B76">
        <v>2231.36106403249</v>
      </c>
      <c r="C76">
        <v>5217874215.5475502</v>
      </c>
      <c r="D76">
        <v>2728.5714971484899</v>
      </c>
    </row>
    <row r="77" spans="1:4">
      <c r="A77">
        <v>3737534375.3197298</v>
      </c>
      <c r="B77">
        <v>2237.03203817333</v>
      </c>
      <c r="C77">
        <v>5420364607.7626305</v>
      </c>
      <c r="D77">
        <v>2735.84803666991</v>
      </c>
    </row>
    <row r="78" spans="1:4">
      <c r="A78">
        <v>3921758723.9346099</v>
      </c>
      <c r="B78">
        <v>2242.7655399673499</v>
      </c>
      <c r="C78">
        <v>5627320171.1730404</v>
      </c>
      <c r="D78">
        <v>2743.2057300791798</v>
      </c>
    </row>
    <row r="79" spans="1:4">
      <c r="A79">
        <v>4110243586.7614398</v>
      </c>
      <c r="B79">
        <v>2248.5625679816299</v>
      </c>
      <c r="C79">
        <v>5838844478.1825705</v>
      </c>
      <c r="D79">
        <v>2750.64588714509</v>
      </c>
    </row>
    <row r="80" spans="1:4">
      <c r="A80">
        <v>4303089374.9043703</v>
      </c>
      <c r="B80">
        <v>2254.4241416250502</v>
      </c>
      <c r="C80">
        <v>6055043804.7634602</v>
      </c>
      <c r="D80">
        <v>2758.16984524093</v>
      </c>
    </row>
    <row r="81" spans="1:4">
      <c r="A81">
        <v>4500399141.0589895</v>
      </c>
      <c r="B81">
        <v>2260.35130168466</v>
      </c>
      <c r="C81">
        <v>6276027210.3414898</v>
      </c>
      <c r="D81">
        <v>2765.7789700613898</v>
      </c>
    </row>
    <row r="82" spans="1:4">
      <c r="A82">
        <v>4702278657.9099503</v>
      </c>
      <c r="B82">
        <v>2266.3451108785498</v>
      </c>
      <c r="C82">
        <v>6501906620.3370705</v>
      </c>
      <c r="D82">
        <v>2773.4746563615799</v>
      </c>
    </row>
    <row r="83" spans="1:4">
      <c r="A83">
        <v>4908836499.1419697</v>
      </c>
      <c r="B83">
        <v>2272.4066544255702</v>
      </c>
      <c r="C83">
        <v>6732796911.4615402</v>
      </c>
      <c r="D83">
        <v>2781.25832871896</v>
      </c>
    </row>
    <row r="84" spans="1:4">
      <c r="A84">
        <v>5120184123.1614799</v>
      </c>
      <c r="B84">
        <v>2278.5370406328002</v>
      </c>
      <c r="C84">
        <v>6968815999.87082</v>
      </c>
      <c r="D84">
        <v>2789.1314423189701</v>
      </c>
    </row>
    <row r="85" spans="1:4">
      <c r="A85">
        <v>5336435959.6294804</v>
      </c>
      <c r="B85">
        <v>2284.73740150105</v>
      </c>
      <c r="C85">
        <v>7210084932.2834797</v>
      </c>
      <c r="D85">
        <v>2797.0954837652298</v>
      </c>
    </row>
    <row r="86" spans="1:4">
      <c r="A86">
        <v>5557709498.9117098</v>
      </c>
      <c r="B86">
        <v>2291.0088933493798</v>
      </c>
      <c r="C86">
        <v>7456727980.1746302</v>
      </c>
      <c r="D86">
        <v>2805.1519719152202</v>
      </c>
    </row>
    <row r="87" spans="1:4">
      <c r="A87">
        <v>5784125384.5549402</v>
      </c>
      <c r="B87">
        <v>2297.3526974591</v>
      </c>
      <c r="C87">
        <v>7708872737.1613903</v>
      </c>
      <c r="D87">
        <v>2813.3024587423201</v>
      </c>
    </row>
    <row r="88" spans="1:4">
      <c r="A88">
        <v>6015807508.9041901</v>
      </c>
      <c r="B88">
        <v>2303.7700207380199</v>
      </c>
      <c r="C88">
        <v>7966650219.7007799</v>
      </c>
      <c r="D88">
        <v>2821.54853022523</v>
      </c>
    </row>
    <row r="89" spans="1:4">
      <c r="A89">
        <v>6252883111.9794798</v>
      </c>
      <c r="B89">
        <v>2310.2620964057401</v>
      </c>
      <c r="C89">
        <v>8230194971.2259398</v>
      </c>
      <c r="D89">
        <v>2829.8918072656902</v>
      </c>
    </row>
    <row r="90" spans="1:4">
      <c r="A90">
        <v>6495482883.7363396</v>
      </c>
      <c r="B90">
        <v>2316.8301847006701</v>
      </c>
      <c r="C90">
        <v>8499645169.8517704</v>
      </c>
      <c r="D90">
        <v>2838.3339466357002</v>
      </c>
    </row>
    <row r="91" spans="1:4">
      <c r="A91">
        <v>6743741069.8390999</v>
      </c>
      <c r="B91">
        <v>2323.4755736095999</v>
      </c>
      <c r="C91">
        <v>8775142739.7866707</v>
      </c>
      <c r="D91">
        <v>2846.8766419551098</v>
      </c>
    </row>
    <row r="92" spans="1:4">
      <c r="A92">
        <v>6997795581.08146</v>
      </c>
      <c r="B92">
        <v>2330.1995796207102</v>
      </c>
      <c r="C92">
        <v>9056833466.59272</v>
      </c>
      <c r="D92">
        <v>2855.5216247008898</v>
      </c>
    </row>
    <row r="93" spans="1:4">
      <c r="A93">
        <v>7257788106.5951796</v>
      </c>
      <c r="B93">
        <v>2337.0035485008202</v>
      </c>
      <c r="C93">
        <v>9344867116.4432793</v>
      </c>
      <c r="D93">
        <v>2864.2706652492602</v>
      </c>
    </row>
    <row r="94" spans="1:4">
      <c r="A94">
        <v>7523864230.9925003</v>
      </c>
      <c r="B94">
        <v>2343.8888560977998</v>
      </c>
      <c r="C94">
        <v>9639397559.5322399</v>
      </c>
      <c r="D94">
        <v>2873.1255739517801</v>
      </c>
    </row>
    <row r="95" spans="1:4">
      <c r="A95">
        <v>7796173555.5955496</v>
      </c>
      <c r="B95">
        <v>2350.8569091691002</v>
      </c>
      <c r="C95">
        <v>9940582897.7971802</v>
      </c>
      <c r="D95">
        <v>2882.0882022467699</v>
      </c>
    </row>
    <row r="96" spans="1:4">
      <c r="A96">
        <v>8074869823.9114799</v>
      </c>
      <c r="B96">
        <v>2357.9091462374299</v>
      </c>
      <c r="C96">
        <v>10248585597.1245</v>
      </c>
      <c r="D96">
        <v>2891.1604438074901</v>
      </c>
    </row>
    <row r="97" spans="1:4">
      <c r="A97">
        <v>8360111051.5194302</v>
      </c>
      <c r="B97">
        <v>2365.0470384744399</v>
      </c>
      <c r="C97">
        <v>10563572624.212601</v>
      </c>
      <c r="D97">
        <v>2900.3442357283002</v>
      </c>
    </row>
    <row r="98" spans="1:4">
      <c r="A98">
        <v>8652059660.5424004</v>
      </c>
      <c r="B98">
        <v>2372.2720906137201</v>
      </c>
      <c r="C98">
        <v>10885715588.275999</v>
      </c>
      <c r="D98">
        <v>2909.6415597503501</v>
      </c>
    </row>
    <row r="99" spans="1:4">
      <c r="A99">
        <v>8950882618.8851891</v>
      </c>
      <c r="B99">
        <v>2379.5858418940402</v>
      </c>
      <c r="C99">
        <v>11215190887.7834</v>
      </c>
      <c r="D99">
        <v>2919.0544435284</v>
      </c>
    </row>
    <row r="100" spans="1:4">
      <c r="A100">
        <v>9256751584.4261608</v>
      </c>
      <c r="B100">
        <v>2386.9898670340799</v>
      </c>
      <c r="C100">
        <v>11552179862.427099</v>
      </c>
      <c r="D100">
        <v>2928.5849619402002</v>
      </c>
    </row>
    <row r="101" spans="1:4">
      <c r="A101">
        <v>9569843054.3606205</v>
      </c>
      <c r="B101">
        <v>2394.48577723985</v>
      </c>
      <c r="C101">
        <v>11896868950.5354</v>
      </c>
      <c r="D101">
        <v>2938.2352384402402</v>
      </c>
    </row>
    <row r="102" spans="1:4">
      <c r="A102">
        <v>9890338519.9008102</v>
      </c>
      <c r="B102">
        <v>2402.0752212460302</v>
      </c>
      <c r="C102">
        <v>12249449852.1429</v>
      </c>
      <c r="D102">
        <v>2948.00744645946</v>
      </c>
    </row>
    <row r="103" spans="1:4">
      <c r="A103">
        <v>10218424626.5471</v>
      </c>
      <c r="B103">
        <v>2409.7598863926501</v>
      </c>
      <c r="C103">
        <v>12610119697.9491</v>
      </c>
      <c r="D103">
        <v>2957.9038108528798</v>
      </c>
    </row>
    <row r="104" spans="1:4">
      <c r="A104">
        <v>10554293340.1549</v>
      </c>
      <c r="B104">
        <v>2417.5414997384</v>
      </c>
      <c r="C104">
        <v>12979081224.4007</v>
      </c>
      <c r="D104">
        <v>2967.92660939696</v>
      </c>
    </row>
    <row r="105" spans="1:4">
      <c r="A105">
        <v>10898142119.031</v>
      </c>
      <c r="B105">
        <v>2425.4218292120399</v>
      </c>
      <c r="C105">
        <v>13356542955.147699</v>
      </c>
      <c r="D105">
        <v>2978.0781743386101</v>
      </c>
    </row>
    <row r="106" spans="1:4">
      <c r="A106">
        <v>11250174092.3046</v>
      </c>
      <c r="B106">
        <v>2433.40268480344</v>
      </c>
      <c r="C106">
        <v>13742719389.131901</v>
      </c>
      <c r="D106">
        <v>2988.36089399805</v>
      </c>
    </row>
    <row r="107" spans="1:4">
      <c r="A107">
        <v>11610598244.8276</v>
      </c>
      <c r="B107">
        <v>2441.4859197957999</v>
      </c>
      <c r="C107">
        <v>14137831195.5795</v>
      </c>
      <c r="D107">
        <v>2998.77721442758</v>
      </c>
    </row>
    <row r="108" spans="1:4">
      <c r="A108">
        <v>11979629608.8722</v>
      </c>
      <c r="B108">
        <v>2449.67343204074</v>
      </c>
      <c r="C108">
        <v>14542105416.181101</v>
      </c>
      <c r="D108">
        <v>3009.3296411285601</v>
      </c>
    </row>
    <row r="109" spans="1:4">
      <c r="A109">
        <v>12357489462.9056</v>
      </c>
      <c r="B109">
        <v>2457.9671652779198</v>
      </c>
      <c r="C109">
        <v>14955775674.756399</v>
      </c>
      <c r="D109">
        <v>3020.0207408289298</v>
      </c>
    </row>
    <row r="110" spans="1:4">
      <c r="A110">
        <v>12744405537.7313</v>
      </c>
      <c r="B110">
        <v>2466.3691105010498</v>
      </c>
      <c r="C110">
        <v>15379082394.7129</v>
      </c>
      <c r="D110">
        <v>3030.8531433237599</v>
      </c>
    </row>
    <row r="111" spans="1:4">
      <c r="A111">
        <v>13140612230.306299</v>
      </c>
      <c r="B111">
        <v>2474.8813073721099</v>
      </c>
      <c r="C111">
        <v>15812273024.622999</v>
      </c>
      <c r="D111">
        <v>3041.8295433814401</v>
      </c>
    </row>
    <row r="112" spans="1:4">
      <c r="A112">
        <v>13546350825.549299</v>
      </c>
      <c r="B112">
        <v>2483.5058456858801</v>
      </c>
      <c r="C112">
        <v>16255602272.26</v>
      </c>
      <c r="D112">
        <v>3052.9527027181098</v>
      </c>
    </row>
    <row r="113" spans="1:4">
      <c r="A113">
        <v>13961869726.4778</v>
      </c>
      <c r="B113">
        <v>2492.24486688666</v>
      </c>
      <c r="C113">
        <v>16709332347.446699</v>
      </c>
      <c r="D113">
        <v>3064.2254520433298</v>
      </c>
    </row>
    <row r="114" spans="1:4">
      <c r="A114">
        <v>14387424693.020901</v>
      </c>
      <c r="B114">
        <v>2501.10056563946</v>
      </c>
      <c r="C114">
        <v>17173733214.0893</v>
      </c>
      <c r="D114">
        <v>3075.6506931797799</v>
      </c>
    </row>
    <row r="115" spans="1:4">
      <c r="A115">
        <v>14823279089.875601</v>
      </c>
      <c r="B115">
        <v>2510.07519145793</v>
      </c>
      <c r="C115">
        <v>17649082851.784801</v>
      </c>
      <c r="D115">
        <v>3087.2314012602301</v>
      </c>
    </row>
    <row r="116" spans="1:4">
      <c r="A116">
        <v>15269704143.788401</v>
      </c>
      <c r="B116">
        <v>2519.17105039133</v>
      </c>
      <c r="C116">
        <v>18135667527.410999</v>
      </c>
      <c r="D116">
        <v>3098.97062700489</v>
      </c>
    </row>
    <row r="117" spans="1:4">
      <c r="A117">
        <v>15726979210.6642</v>
      </c>
      <c r="B117">
        <v>2528.3905067730698</v>
      </c>
      <c r="C117">
        <v>18633782077.122898</v>
      </c>
      <c r="D117">
        <v>3110.8714990827498</v>
      </c>
    </row>
    <row r="118" spans="1:4">
      <c r="A118">
        <v>16195392052.9216</v>
      </c>
      <c r="B118">
        <v>2537.73598503332</v>
      </c>
      <c r="C118">
        <v>19143730199.206402</v>
      </c>
      <c r="D118">
        <v>3122.9372265602001</v>
      </c>
    </row>
    <row r="119" spans="1:4">
      <c r="A119">
        <v>16675239127.534401</v>
      </c>
      <c r="B119">
        <v>2547.2099715786298</v>
      </c>
      <c r="C119">
        <v>19665824758.252499</v>
      </c>
      <c r="D119">
        <v>3135.1711014409898</v>
      </c>
    </row>
    <row r="120" spans="1:4">
      <c r="A120">
        <v>17166825885.221399</v>
      </c>
      <c r="B120">
        <v>2556.81501674113</v>
      </c>
      <c r="C120">
        <v>20200388101.148201</v>
      </c>
      <c r="D120">
        <v>3147.5765013012001</v>
      </c>
    </row>
    <row r="121" spans="1:4">
      <c r="A121">
        <v>17670467081.2663</v>
      </c>
      <c r="B121">
        <v>2566.5537368005298</v>
      </c>
      <c r="C121">
        <v>20747752385.3936</v>
      </c>
      <c r="D121">
        <v>3160.1568920233899</v>
      </c>
    </row>
    <row r="122" spans="1:4">
      <c r="A122">
        <v>18186487098.472801</v>
      </c>
      <c r="B122">
        <v>2576.4288160819201</v>
      </c>
      <c r="C122">
        <v>21308259920.2878</v>
      </c>
      <c r="D122">
        <v>3172.9158306344102</v>
      </c>
    </row>
    <row r="123" spans="1:4">
      <c r="A123">
        <v>18715220282.788101</v>
      </c>
      <c r="B123">
        <v>2586.4430091327199</v>
      </c>
      <c r="C123">
        <v>21882263521.546299</v>
      </c>
      <c r="D123">
        <v>3185.8569682511902</v>
      </c>
    </row>
    <row r="124" spans="1:4">
      <c r="A124">
        <v>19257011292.148399</v>
      </c>
      <c r="B124">
        <v>2596.5991429822202</v>
      </c>
      <c r="C124">
        <v>22470126879.945702</v>
      </c>
      <c r="D124">
        <v>3198.9840531393202</v>
      </c>
    </row>
    <row r="125" spans="1:4">
      <c r="A125">
        <v>19812215459.131401</v>
      </c>
      <c r="B125">
        <v>2606.9001194873499</v>
      </c>
      <c r="C125">
        <v>23072224944.615299</v>
      </c>
      <c r="D125">
        <v>3212.3009338895599</v>
      </c>
    </row>
    <row r="126" spans="1:4">
      <c r="A126">
        <v>20381199168.026699</v>
      </c>
      <c r="B126">
        <v>2617.34891776839</v>
      </c>
      <c r="C126">
        <v>23688944321.629501</v>
      </c>
      <c r="D126">
        <v>3225.8115627172801</v>
      </c>
    </row>
    <row r="127" spans="1:4">
      <c r="A127">
        <v>20964340246.9673</v>
      </c>
      <c r="B127">
        <v>2627.94859673878</v>
      </c>
      <c r="C127">
        <v>24320683688.5863</v>
      </c>
      <c r="D127">
        <v>3239.5199988905501</v>
      </c>
    </row>
    <row r="128" spans="1:4">
      <c r="A128">
        <v>21562028375.794601</v>
      </c>
      <c r="B128">
        <v>2638.7022977330698</v>
      </c>
      <c r="C128">
        <v>24967854225.891102</v>
      </c>
      <c r="D128">
        <v>3253.43041229255</v>
      </c>
    </row>
    <row r="129" spans="1:4">
      <c r="A129">
        <v>22174665510.3657</v>
      </c>
      <c r="B129">
        <v>2649.6132472374702</v>
      </c>
      <c r="C129">
        <v>25630880065.499401</v>
      </c>
      <c r="D129">
        <v>3267.5470871244302</v>
      </c>
    </row>
    <row r="130" spans="1:4">
      <c r="A130">
        <v>22802666324.0438</v>
      </c>
      <c r="B130">
        <v>2660.6847597276801</v>
      </c>
      <c r="C130">
        <v>26310198757.9151</v>
      </c>
      <c r="D130">
        <v>3281.8744257549602</v>
      </c>
    </row>
    <row r="131" spans="1:4">
      <c r="A131">
        <v>23446458667.154099</v>
      </c>
      <c r="B131">
        <v>2671.9202406187901</v>
      </c>
      <c r="C131">
        <v>27006261758.273499</v>
      </c>
      <c r="D131">
        <v>3296.4169527238</v>
      </c>
    </row>
    <row r="132" spans="1:4">
      <c r="A132">
        <v>24106484045.2211</v>
      </c>
      <c r="B132">
        <v>2683.32318933238</v>
      </c>
      <c r="C132">
        <v>27719534932.3876</v>
      </c>
      <c r="D132">
        <v>3311.1793189053401</v>
      </c>
    </row>
    <row r="133" spans="1:4">
      <c r="A133">
        <v>24783198116.851299</v>
      </c>
      <c r="B133">
        <v>2694.8972024863301</v>
      </c>
      <c r="C133">
        <v>28450499083.676701</v>
      </c>
      <c r="D133">
        <v>3326.1663058406698</v>
      </c>
    </row>
    <row r="134" spans="1:4">
      <c r="A134">
        <v>25477071212.163101</v>
      </c>
      <c r="B134">
        <v>2706.64597721271</v>
      </c>
      <c r="C134">
        <v>29199650501.945202</v>
      </c>
      <c r="D134">
        <v>3341.3828302454399</v>
      </c>
    </row>
    <row r="135" spans="1:4">
      <c r="A135">
        <v>26188588872.716801</v>
      </c>
      <c r="B135">
        <v>2718.5733146101402</v>
      </c>
      <c r="C135">
        <v>29967501535.028702</v>
      </c>
      <c r="D135">
        <v>3356.8339487018602</v>
      </c>
    </row>
    <row r="136" spans="1:4">
      <c r="A136">
        <v>26918252413.942501</v>
      </c>
      <c r="B136">
        <v>2730.6831233364201</v>
      </c>
      <c r="C136">
        <v>30754581184.3773</v>
      </c>
      <c r="D136">
        <v>3372.5248625435702</v>
      </c>
    </row>
    <row r="137" spans="1:4">
      <c r="A137">
        <v>27666579511.118401</v>
      </c>
      <c r="B137">
        <v>2742.9794233484699</v>
      </c>
      <c r="C137">
        <v>31561435725.702499</v>
      </c>
      <c r="D137">
        <v>3388.4609229425801</v>
      </c>
    </row>
    <row r="138" spans="1:4">
      <c r="A138">
        <v>28434104810.006302</v>
      </c>
      <c r="B138">
        <v>2755.4663497962101</v>
      </c>
      <c r="C138">
        <v>32388629355.872398</v>
      </c>
      <c r="D138">
        <v>3404.6476362077401</v>
      </c>
    </row>
    <row r="139" spans="1:4">
      <c r="A139">
        <v>29221380563.304901</v>
      </c>
      <c r="B139">
        <v>2768.1481570778901</v>
      </c>
      <c r="C139">
        <v>33236744867.301102</v>
      </c>
      <c r="D139">
        <v>3421.0906693051202</v>
      </c>
    </row>
    <row r="140" spans="1:4">
      <c r="A140">
        <v>30028977294.150002</v>
      </c>
      <c r="B140">
        <v>2781.0292230646201</v>
      </c>
      <c r="C140">
        <v>34106384351.147701</v>
      </c>
      <c r="D140">
        <v>3437.7958556109302</v>
      </c>
    </row>
    <row r="141" spans="1:4">
      <c r="A141">
        <v>30857484487.946701</v>
      </c>
      <c r="B141">
        <v>2794.11405350209</v>
      </c>
      <c r="C141">
        <v>34998169930.7052</v>
      </c>
      <c r="D141">
        <v>3454.7692009082898</v>
      </c>
    </row>
    <row r="142" spans="1:4">
      <c r="A142">
        <v>31707511313.894798</v>
      </c>
      <c r="B142">
        <v>2807.4072865982298</v>
      </c>
      <c r="C142">
        <v>35912744526.438599</v>
      </c>
      <c r="D142">
        <v>3472.0168896397399</v>
      </c>
    </row>
    <row r="143" spans="1:4">
      <c r="A143">
        <v>32579687377.635399</v>
      </c>
      <c r="B143">
        <v>2820.91369780584</v>
      </c>
      <c r="C143">
        <v>36850772654.205399</v>
      </c>
      <c r="D143">
        <v>3489.54529142825</v>
      </c>
    </row>
    <row r="144" spans="1:4">
      <c r="A144">
        <v>33474663506.526699</v>
      </c>
      <c r="B144">
        <v>2834.6382048096898</v>
      </c>
      <c r="C144">
        <v>37812941258.278297</v>
      </c>
      <c r="D144">
        <v>3507.3609678797998</v>
      </c>
    </row>
    <row r="145" spans="1:4">
      <c r="A145">
        <v>34393112569.135696</v>
      </c>
      <c r="B145">
        <v>2848.5858727282898</v>
      </c>
      <c r="C145">
        <v>38799960580.874802</v>
      </c>
      <c r="D145">
        <v>3525.47067968179</v>
      </c>
    </row>
    <row r="146" spans="1:4">
      <c r="A146">
        <v>35335730330.621498</v>
      </c>
      <c r="B146">
        <v>2862.7619195409502</v>
      </c>
      <c r="C146">
        <v>39812565069.994102</v>
      </c>
      <c r="D146">
        <v>3543.8813940119799</v>
      </c>
    </row>
    <row r="147" spans="1:4">
      <c r="A147">
        <v>36303236345.772903</v>
      </c>
      <c r="B147">
        <v>2877.1717217514201</v>
      </c>
      <c r="C147">
        <v>40851514327.459</v>
      </c>
      <c r="D147">
        <v>3562.6002922736898</v>
      </c>
    </row>
    <row r="148" spans="1:4">
      <c r="A148">
        <v>37296374891.564796</v>
      </c>
      <c r="B148">
        <v>2891.8208202999599</v>
      </c>
      <c r="C148">
        <v>41917594099.165398</v>
      </c>
      <c r="D148">
        <v>3581.63477817391</v>
      </c>
    </row>
    <row r="149" spans="1:4">
      <c r="A149">
        <v>38315915941.194504</v>
      </c>
      <c r="B149">
        <v>2906.7149267364998</v>
      </c>
      <c r="C149">
        <v>43011617309.654099</v>
      </c>
      <c r="D149">
        <v>3600.9924861616801</v>
      </c>
    </row>
    <row r="150" spans="1:4">
      <c r="A150">
        <v>39362656181.673698</v>
      </c>
      <c r="B150">
        <v>2921.8599296682501</v>
      </c>
      <c r="C150">
        <v>44134425143.238098</v>
      </c>
      <c r="D150">
        <v>3620.6812902455799</v>
      </c>
    </row>
    <row r="151" spans="1:4">
      <c r="A151">
        <v>40437420077.161598</v>
      </c>
      <c r="B151">
        <v>2937.2619014956599</v>
      </c>
      <c r="C151">
        <v>45286888174.040398</v>
      </c>
      <c r="D151">
        <v>3640.7093132096302</v>
      </c>
    </row>
    <row r="152" spans="1:4">
      <c r="A152">
        <v>41541060980.351997</v>
      </c>
      <c r="B152">
        <v>2952.9271054518499</v>
      </c>
      <c r="C152">
        <v>46469907547.4366</v>
      </c>
      <c r="D152">
        <v>3661.0849362487202</v>
      </c>
    </row>
    <row r="153" spans="1:4">
      <c r="A153">
        <v>42674462294.352997</v>
      </c>
      <c r="B153">
        <v>2968.8620029611102</v>
      </c>
      <c r="C153">
        <v>47684416215.532402</v>
      </c>
      <c r="D153">
        <v>3681.81680904531</v>
      </c>
    </row>
    <row r="154" spans="1:4">
      <c r="A154">
        <v>43838538687.639603</v>
      </c>
      <c r="B154">
        <v>2985.0732613332998</v>
      </c>
      <c r="C154">
        <v>48931380229.459503</v>
      </c>
      <c r="D154">
        <v>3702.91386031095</v>
      </c>
    </row>
    <row r="155" spans="1:4">
      <c r="A155">
        <v>45034237364.803299</v>
      </c>
      <c r="B155">
        <v>3001.5677618118102</v>
      </c>
      <c r="C155">
        <v>50211800091.432404</v>
      </c>
      <c r="D155">
        <v>3724.38530881724</v>
      </c>
    </row>
    <row r="156" spans="1:4">
      <c r="A156">
        <v>46262539395.980797</v>
      </c>
      <c r="B156">
        <v>3018.3526079937601</v>
      </c>
      <c r="C156">
        <v>51526712169.68</v>
      </c>
      <c r="D156">
        <v>3746.2406749424699</v>
      </c>
    </row>
    <row r="157" spans="1:4">
      <c r="A157">
        <v>47524461108.007797</v>
      </c>
      <c r="B157">
        <v>3035.4351346424801</v>
      </c>
      <c r="C157">
        <v>52877190179.543999</v>
      </c>
      <c r="D157">
        <v>3768.4897927617399</v>
      </c>
    </row>
    <row r="158" spans="1:4">
      <c r="A158">
        <v>48821055540.523201</v>
      </c>
      <c r="B158">
        <v>3052.8229169132201</v>
      </c>
      <c r="C158">
        <v>54264346734.232399</v>
      </c>
      <c r="D158">
        <v>3791.1428227101201</v>
      </c>
    </row>
    <row r="159" spans="1:4">
      <c r="A159">
        <v>50153413970.431999</v>
      </c>
      <c r="B159">
        <v>3070.5237800144901</v>
      </c>
      <c r="C159">
        <v>55689334968.918198</v>
      </c>
      <c r="D159">
        <v>3814.21026485016</v>
      </c>
    </row>
    <row r="160" spans="1:4">
      <c r="A160">
        <v>51522667508.340698</v>
      </c>
      <c r="B160">
        <v>3088.5458093288598</v>
      </c>
      <c r="C160">
        <v>57153350242.094498</v>
      </c>
      <c r="D160">
        <v>3837.70297277697</v>
      </c>
    </row>
    <row r="161" spans="1:4">
      <c r="A161">
        <v>52929988770.787003</v>
      </c>
      <c r="B161">
        <v>3106.8973610183498</v>
      </c>
      <c r="C161">
        <v>58657631918.328697</v>
      </c>
      <c r="D161">
        <v>3861.63216819631</v>
      </c>
    </row>
    <row r="162" spans="1:4">
      <c r="A162">
        <v>54376593632.312103</v>
      </c>
      <c r="B162">
        <v>3125.5870731411601</v>
      </c>
      <c r="C162">
        <v>60203465236.805603</v>
      </c>
      <c r="D162">
        <v>3886.0094562131899</v>
      </c>
    </row>
    <row r="163" spans="1:4">
      <c r="A163">
        <v>55863743061.6716</v>
      </c>
      <c r="B163">
        <v>3144.6238773083801</v>
      </c>
      <c r="C163">
        <v>61792183270.317802</v>
      </c>
      <c r="D163">
        <v>3910.8468413708702</v>
      </c>
    </row>
    <row r="164" spans="1:4">
      <c r="A164">
        <v>57392745046.728897</v>
      </c>
      <c r="B164">
        <v>3164.0170109106898</v>
      </c>
      <c r="C164">
        <v>63425168979.639397</v>
      </c>
      <c r="D164">
        <v>3936.1567444829502</v>
      </c>
    </row>
    <row r="165" spans="1:4">
      <c r="A165">
        <v>58964956612.8563</v>
      </c>
      <c r="B165">
        <v>3183.7760299473998</v>
      </c>
      <c r="C165">
        <v>65103857368.522797</v>
      </c>
      <c r="D165">
        <v>3961.9520203034699</v>
      </c>
    </row>
    <row r="166" spans="1:4">
      <c r="A166">
        <v>60581785939.959297</v>
      </c>
      <c r="B166">
        <v>3203.9108224920601</v>
      </c>
      <c r="C166">
        <v>66829737744.881401</v>
      </c>
      <c r="D166">
        <v>3988.2459760834099</v>
      </c>
    </row>
    <row r="167" spans="1:4">
      <c r="A167">
        <v>62244694583.5522</v>
      </c>
      <c r="B167">
        <v>3224.4316228309399</v>
      </c>
      <c r="C167">
        <v>68604356094.0616</v>
      </c>
      <c r="D167">
        <v>4015.0523910646998</v>
      </c>
    </row>
    <row r="168" spans="1:4">
      <c r="A168">
        <v>63955199805.646004</v>
      </c>
      <c r="B168">
        <v>3245.3490263133799</v>
      </c>
      <c r="C168">
        <v>70429317570.476395</v>
      </c>
      <c r="D168">
        <v>4042.3855369663502</v>
      </c>
    </row>
    <row r="169" spans="1:4">
      <c r="A169">
        <v>65714877021.566704</v>
      </c>
      <c r="B169">
        <v>3266.67400495521</v>
      </c>
      <c r="C169">
        <v>72306289114.266907</v>
      </c>
      <c r="D169">
        <v>4070.2601995211198</v>
      </c>
    </row>
    <row r="170" spans="1:4">
      <c r="A170">
        <v>67525362369.202499</v>
      </c>
      <c r="B170">
        <v>3288.4179238393499</v>
      </c>
      <c r="C170">
        <v>74237002200.075302</v>
      </c>
      <c r="D170">
        <v>4098.6917011244695</v>
      </c>
    </row>
    <row r="171" spans="1:4">
      <c r="A171">
        <v>69388355407.584702</v>
      </c>
      <c r="B171">
        <v>3310.5925583605899</v>
      </c>
      <c r="C171">
        <v>76223255725.462906</v>
      </c>
      <c r="D171">
        <v>4127.6959246624201</v>
      </c>
    </row>
    <row r="172" spans="1:4">
      <c r="A172">
        <v>71305621952.1418</v>
      </c>
      <c r="B172">
        <v>3333.2101123646598</v>
      </c>
      <c r="C172">
        <v>78266919046.988495</v>
      </c>
      <c r="D172">
        <v>4157.2893385887601</v>
      </c>
    </row>
    <row r="173" spans="1:4">
      <c r="A173">
        <v>73278997054.435104</v>
      </c>
      <c r="B173">
        <v>3356.2832372350599</v>
      </c>
      <c r="C173">
        <v>80369935172.4785</v>
      </c>
      <c r="D173">
        <v>4187.4890233272399</v>
      </c>
    </row>
    <row r="174" spans="1:4">
      <c r="A174">
        <v>75310388134.675201</v>
      </c>
      <c r="B174">
        <v>3379.8250519848398</v>
      </c>
      <c r="C174">
        <v>82534324118.566193</v>
      </c>
      <c r="D174">
        <v>4218.3126990794799</v>
      </c>
    </row>
    <row r="175" spans="1:4">
      <c r="A175">
        <v>77401778275.860794</v>
      </c>
      <c r="B175">
        <v>3403.84916441426</v>
      </c>
      <c r="C175">
        <v>84762186443.178406</v>
      </c>
      <c r="D175">
        <v>4249.7787551247502</v>
      </c>
    </row>
    <row r="176" spans="1:4">
      <c r="A176">
        <v>79555229688.945908</v>
      </c>
      <c r="B176">
        <v>3428.3696933995998</v>
      </c>
      <c r="C176">
        <v>87055706963.271103</v>
      </c>
      <c r="D176">
        <v>4281.9062807038799</v>
      </c>
    </row>
    <row r="177" spans="1:4">
      <c r="A177">
        <v>81772887359.057205</v>
      </c>
      <c r="B177">
        <v>3453.40129238292</v>
      </c>
      <c r="C177">
        <v>89417158668.805801</v>
      </c>
      <c r="D177">
        <v>4314.7150975861696</v>
      </c>
    </row>
    <row r="178" spans="1:4">
      <c r="A178">
        <v>84056982883.438995</v>
      </c>
      <c r="B178">
        <v>3478.9591741372501</v>
      </c>
      <c r="C178">
        <v>91848906844.681702</v>
      </c>
      <c r="D178">
        <v>4348.2257944246703</v>
      </c>
    </row>
    <row r="179" spans="1:4">
      <c r="A179">
        <v>86409838512.507797</v>
      </c>
      <c r="B179">
        <v>3505.0591368871401</v>
      </c>
      <c r="C179">
        <v>94353413413.126099</v>
      </c>
      <c r="D179">
        <v>4382.4597630133703</v>
      </c>
    </row>
    <row r="180" spans="1:4">
      <c r="A180">
        <v>88833871406.155396</v>
      </c>
      <c r="B180">
        <v>3531.7175918701701</v>
      </c>
      <c r="C180">
        <v>96933241509.889008</v>
      </c>
      <c r="D180">
        <v>4417.4392365673002</v>
      </c>
    </row>
    <row r="181" spans="1:4">
      <c r="A181">
        <v>91331598118.248398</v>
      </c>
      <c r="B181">
        <v>3558.9515924309298</v>
      </c>
      <c r="C181">
        <v>99591060308.490295</v>
      </c>
      <c r="D181">
        <v>4453.1873301556898</v>
      </c>
    </row>
    <row r="182" spans="1:4">
      <c r="A182">
        <v>93905639323.1465</v>
      </c>
      <c r="B182">
        <v>3586.7788647458201</v>
      </c>
      <c r="C182">
        <v>102329650107.745</v>
      </c>
      <c r="D182">
        <v>4489.7280834278499</v>
      </c>
    </row>
    <row r="183" spans="1:4">
      <c r="A183">
        <v>96558724799</v>
      </c>
      <c r="B183">
        <v>3615.21784028395</v>
      </c>
      <c r="C183">
        <v>105151907698.842</v>
      </c>
      <c r="D183">
        <v>4527.0865057812298</v>
      </c>
    </row>
    <row r="184" spans="1:4">
      <c r="A184">
        <v>99293698683.590897</v>
      </c>
      <c r="B184">
        <v>3644.28769011738</v>
      </c>
      <c r="C184">
        <v>108060852029.371</v>
      </c>
      <c r="D184">
        <v>4565.2886241327296</v>
      </c>
    </row>
    <row r="185" spans="1:4">
      <c r="A185">
        <v>102113525019.57001</v>
      </c>
      <c r="B185">
        <v>3674.0083612019298</v>
      </c>
      <c r="C185">
        <v>111059630182.92799</v>
      </c>
      <c r="D185">
        <v>4604.3615334659899</v>
      </c>
    </row>
    <row r="186" spans="1:4">
      <c r="A186">
        <v>105021293607.10699</v>
      </c>
      <c r="B186">
        <v>3704.4006147591899</v>
      </c>
      <c r="C186">
        <v>114151523694.215</v>
      </c>
      <c r="D186">
        <v>4644.3334503404003</v>
      </c>
    </row>
    <row r="187" spans="1:4">
      <c r="A187">
        <v>108020226183.23199</v>
      </c>
      <c r="B187">
        <v>3735.48606689996</v>
      </c>
      <c r="C187">
        <v>117339955220.98</v>
      </c>
      <c r="D187">
        <v>4685.2337695617698</v>
      </c>
    </row>
    <row r="188" spans="1:4">
      <c r="A188">
        <v>111113682948.49001</v>
      </c>
      <c r="B188">
        <v>3767.2872316398302</v>
      </c>
      <c r="C188">
        <v>120628495595.67101</v>
      </c>
      <c r="D188">
        <v>4727.0931242297302</v>
      </c>
    </row>
    <row r="189" spans="1:4">
      <c r="A189">
        <v>114305169463.011</v>
      </c>
      <c r="B189">
        <v>3799.8275664694002</v>
      </c>
      <c r="C189">
        <v>124020871281.308</v>
      </c>
      <c r="D189">
        <v>4769.9434493936296</v>
      </c>
    </row>
    <row r="190" spans="1:4">
      <c r="A190">
        <v>117598343935.653</v>
      </c>
      <c r="B190">
        <v>3833.1315206539098</v>
      </c>
      <c r="C190">
        <v>127520972257.869</v>
      </c>
      <c r="D190">
        <v>4813.8180495665902</v>
      </c>
    </row>
    <row r="191" spans="1:4">
      <c r="A191">
        <v>120997024931.57899</v>
      </c>
      <c r="B191">
        <v>3867.2245864505599</v>
      </c>
      <c r="C191">
        <v>131132860367.40401</v>
      </c>
      <c r="D191">
        <v>4858.7516703668898</v>
      </c>
    </row>
    <row r="192" spans="1:4">
      <c r="A192">
        <v>124505199525.48801</v>
      </c>
      <c r="B192">
        <v>3902.1333534467399</v>
      </c>
      <c r="C192">
        <v>134860778148.17999</v>
      </c>
      <c r="D192">
        <v>4904.7805745773603</v>
      </c>
    </row>
    <row r="193" spans="1:4">
      <c r="A193">
        <v>128127031929.666</v>
      </c>
      <c r="B193">
        <v>3937.8855662381302</v>
      </c>
      <c r="C193">
        <v>138709158190.384</v>
      </c>
      <c r="D193">
        <v>4951.9426229361698</v>
      </c>
    </row>
    <row r="194" spans="1:4">
      <c r="A194">
        <v>131866872628.209</v>
      </c>
      <c r="B194">
        <v>3974.5101856832798</v>
      </c>
      <c r="C194">
        <v>142682633048.383</v>
      </c>
      <c r="D194">
        <v>5000.2773599981601</v>
      </c>
    </row>
    <row r="195" spans="1:4">
      <c r="A195">
        <v>135729268051.061</v>
      </c>
      <c r="B195">
        <v>4012.0374539900399</v>
      </c>
      <c r="C195">
        <v>146786045747.16299</v>
      </c>
      <c r="D195">
        <v>5049.8261054326604</v>
      </c>
    </row>
    <row r="196" spans="1:4">
      <c r="A196">
        <v>139718970824.03201</v>
      </c>
      <c r="B196">
        <v>4050.4989639099499</v>
      </c>
      <c r="C196">
        <v>151024460923.41599</v>
      </c>
      <c r="D196">
        <v>5100.6320511543099</v>
      </c>
    </row>
    <row r="197" spans="1:4">
      <c r="A197">
        <v>143840950633.70499</v>
      </c>
      <c r="B197">
        <v>4089.9277323393699</v>
      </c>
      <c r="C197">
        <v>155403176644.89999</v>
      </c>
      <c r="D197">
        <v>5152.7403647155998</v>
      </c>
    </row>
    <row r="198" spans="1:4">
      <c r="A198">
        <v>148100405749.04501</v>
      </c>
      <c r="B198">
        <v>4130.3582786503102</v>
      </c>
      <c r="C198">
        <v>159927736955.005</v>
      </c>
      <c r="D198">
        <v>5206.1982994257896</v>
      </c>
    </row>
    <row r="199" spans="1:4">
      <c r="A199">
        <v>152502775244.77701</v>
      </c>
      <c r="B199">
        <v>4171.82670810126</v>
      </c>
      <c r="C199">
        <v>164603945193.18701</v>
      </c>
      <c r="D199">
        <v>5261.0553116996898</v>
      </c>
    </row>
    <row r="200" spans="1:4">
      <c r="A200">
        <v>157053751975.03299</v>
      </c>
      <c r="B200">
        <v>4214.37080070721</v>
      </c>
      <c r="C200">
        <v>169437878145.87299</v>
      </c>
      <c r="D200">
        <v>5317.3631861825897</v>
      </c>
    </row>
    <row r="201" spans="1:4">
      <c r="A201">
        <v>161759296349.565</v>
      </c>
      <c r="B201">
        <v>4258.0301059803996</v>
      </c>
      <c r="C201">
        <v>174435901086.793</v>
      </c>
      <c r="D201">
        <v>5375.1761692441396</v>
      </c>
    </row>
    <row r="203" spans="1:4">
      <c r="A203" t="s">
        <v>514</v>
      </c>
    </row>
  </sheetData>
  <hyperlinks>
    <hyperlink ref="G3" r:id="rId1" location="birch-murnaghan" display="https://burnman.org/current-doc/eos.html - birch-murnaghan" xr:uid="{00000000-0004-0000-0600-000000000000}"/>
    <hyperlink ref="G4" r:id="rId2" location="stixrude-and-lithgow-bertelloni-formulation" display="https://burnman.org/current-doc/eos.html - stixrude-and-lithgow-bertelloni-formulation" xr:uid="{00000000-0004-0000-0600-000001000000}"/>
    <hyperlink ref="G5" r:id="rId3" location="mie-gruneisen-debye" display="https://burnman.org/current-doc/eos.html - mie-gruneisen-debye" xr:uid="{00000000-0004-0000-0600-000002000000}"/>
    <hyperlink ref="G6" r:id="rId4" location="modified-tait" display="https://burnman.org/current-doc/eos.html - modified-tait" xr:uid="{00000000-0004-0000-0600-000003000000}"/>
    <hyperlink ref="G7" r:id="rId5" location="cork" display="https://burnman.org/current-doc/eos.html - cork" xr:uid="{00000000-0004-0000-0600-000004000000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"/>
  <dimension ref="A1:AL128"/>
  <sheetViews>
    <sheetView topLeftCell="A4" zoomScale="74" zoomScaleNormal="74" zoomScalePageLayoutView="75" workbookViewId="0">
      <selection activeCell="F96" sqref="F96:I97"/>
    </sheetView>
  </sheetViews>
  <sheetFormatPr baseColWidth="10" defaultRowHeight="16"/>
  <cols>
    <col min="10" max="10" width="12.1640625" style="89" bestFit="1" customWidth="1"/>
  </cols>
  <sheetData>
    <row r="1" spans="1:38" s="66" customFormat="1">
      <c r="A1" s="66" t="s">
        <v>515</v>
      </c>
      <c r="D1" s="66" t="s">
        <v>516</v>
      </c>
      <c r="E1" s="66" t="s">
        <v>517</v>
      </c>
    </row>
    <row r="2" spans="1:38" s="1" customFormat="1">
      <c r="A2" s="1" t="s">
        <v>3</v>
      </c>
      <c r="B2" s="1" t="s">
        <v>4</v>
      </c>
      <c r="C2" t="s">
        <v>5</v>
      </c>
      <c r="D2" t="s">
        <v>6</v>
      </c>
      <c r="E2" t="s">
        <v>7</v>
      </c>
      <c r="F2" t="s">
        <v>8</v>
      </c>
      <c r="G2" s="1" t="s">
        <v>9</v>
      </c>
      <c r="I2" s="1" t="s">
        <v>10</v>
      </c>
      <c r="J2" s="1" t="s">
        <v>11</v>
      </c>
      <c r="K2" s="1" t="s">
        <v>97</v>
      </c>
      <c r="L2" s="1" t="s">
        <v>98</v>
      </c>
      <c r="N2" s="1" t="s">
        <v>6</v>
      </c>
      <c r="O2" s="1" t="s">
        <v>5</v>
      </c>
      <c r="P2" s="1" t="s">
        <v>6</v>
      </c>
      <c r="Q2" s="1" t="s">
        <v>7</v>
      </c>
    </row>
    <row r="3" spans="1:38" s="1" customFormat="1">
      <c r="A3" s="1">
        <v>0</v>
      </c>
      <c r="B3" s="1">
        <v>0</v>
      </c>
      <c r="C3">
        <v>30</v>
      </c>
      <c r="D3">
        <v>2</v>
      </c>
      <c r="E3">
        <v>32</v>
      </c>
      <c r="F3">
        <f>48.5*2</f>
        <v>97</v>
      </c>
      <c r="J3" s="1">
        <f>D3*72/G4</f>
        <v>4.3744000388835559E-2</v>
      </c>
      <c r="K3" s="1">
        <f>A3/2*18/G4</f>
        <v>0</v>
      </c>
      <c r="L3" s="1">
        <f>B3*(12+32)/G4</f>
        <v>0</v>
      </c>
      <c r="M3" s="1">
        <f>E3*(E4+F4*2)/G4</f>
        <v>0.58412821852558416</v>
      </c>
      <c r="N3" s="5">
        <f>D3*2/(C3+D3+E3)</f>
        <v>6.25E-2</v>
      </c>
      <c r="O3" s="1">
        <f>C3/($C$3+$D$3+$E$3)</f>
        <v>0.46875</v>
      </c>
      <c r="P3" s="1">
        <f>D3/($C$3+$D$3+$E$3)</f>
        <v>3.125E-2</v>
      </c>
      <c r="Q3" s="1">
        <f>E3/($C$3+$D$3+$E$3)</f>
        <v>0.5</v>
      </c>
    </row>
    <row r="4" spans="1:38" s="1" customFormat="1">
      <c r="A4" s="1">
        <v>1</v>
      </c>
      <c r="B4" s="1">
        <v>12.01</v>
      </c>
      <c r="C4" s="1">
        <v>24.31</v>
      </c>
      <c r="D4" s="1">
        <v>55.85</v>
      </c>
      <c r="E4" s="1">
        <v>28.09</v>
      </c>
      <c r="F4" s="1">
        <v>16</v>
      </c>
      <c r="G4" s="1">
        <f>A3*A4+B4*B3+C4*C3+D4*D3+E4*E3+F4*F3</f>
        <v>3291.88</v>
      </c>
      <c r="I4" s="2">
        <v>6.0220000000000003E+23</v>
      </c>
    </row>
    <row r="5" spans="1:38">
      <c r="A5" s="16" t="s">
        <v>100</v>
      </c>
      <c r="B5" t="s">
        <v>90</v>
      </c>
      <c r="C5" t="s">
        <v>124</v>
      </c>
      <c r="D5" t="s">
        <v>12</v>
      </c>
      <c r="E5" t="s">
        <v>92</v>
      </c>
      <c r="F5" t="s">
        <v>93</v>
      </c>
      <c r="G5" t="s">
        <v>13</v>
      </c>
      <c r="H5" t="s">
        <v>14</v>
      </c>
      <c r="I5" t="s">
        <v>15</v>
      </c>
      <c r="J5" t="s">
        <v>16</v>
      </c>
      <c r="K5" t="s">
        <v>102</v>
      </c>
      <c r="M5" s="83" t="s">
        <v>17</v>
      </c>
      <c r="N5" s="83" t="s">
        <v>18</v>
      </c>
      <c r="O5" s="83" t="s">
        <v>19</v>
      </c>
      <c r="P5" s="83" t="s">
        <v>15</v>
      </c>
      <c r="Q5" s="83" t="s">
        <v>20</v>
      </c>
      <c r="R5" s="83" t="s">
        <v>21</v>
      </c>
      <c r="S5" s="83" t="s">
        <v>22</v>
      </c>
      <c r="T5" s="83" t="s">
        <v>23</v>
      </c>
      <c r="U5" s="1" t="s">
        <v>103</v>
      </c>
      <c r="V5" s="83" t="s">
        <v>5</v>
      </c>
      <c r="W5" s="83" t="s">
        <v>6</v>
      </c>
      <c r="X5" s="83" t="s">
        <v>7</v>
      </c>
      <c r="Y5" s="83" t="s">
        <v>8</v>
      </c>
      <c r="Z5" s="83" t="s">
        <v>518</v>
      </c>
      <c r="AA5" s="83"/>
      <c r="AB5" s="83"/>
      <c r="AC5" s="83"/>
    </row>
    <row r="6" spans="1:38">
      <c r="A6" s="40" t="s">
        <v>519</v>
      </c>
      <c r="D6">
        <v>1287.8599999999999</v>
      </c>
      <c r="E6" s="6"/>
      <c r="F6">
        <v>558.48</v>
      </c>
      <c r="G6" s="17">
        <f>F6+J6</f>
        <v>622.72800000000007</v>
      </c>
      <c r="H6">
        <v>-983.1</v>
      </c>
      <c r="I6">
        <v>3998.24</v>
      </c>
      <c r="J6" s="7">
        <f>632.533-568.285</f>
        <v>64.248000000000047</v>
      </c>
      <c r="K6" s="17" t="s">
        <v>520</v>
      </c>
      <c r="L6">
        <v>4000</v>
      </c>
      <c r="M6">
        <f>G6/10</f>
        <v>62.272800000000004</v>
      </c>
      <c r="N6">
        <f>H6</f>
        <v>-983.1</v>
      </c>
      <c r="O6">
        <f>D6</f>
        <v>1287.8599999999999</v>
      </c>
      <c r="P6">
        <f>I6</f>
        <v>3998.24</v>
      </c>
      <c r="Q6">
        <f>F7/10</f>
        <v>0.30199999999999999</v>
      </c>
      <c r="R6">
        <f>H7</f>
        <v>1.51</v>
      </c>
      <c r="S6">
        <v>0</v>
      </c>
      <c r="T6">
        <f>I7</f>
        <v>4.3600000000000003</v>
      </c>
    </row>
    <row r="7" spans="1:38">
      <c r="E7" s="6"/>
      <c r="F7">
        <v>3.02</v>
      </c>
      <c r="H7">
        <v>1.51</v>
      </c>
      <c r="I7">
        <v>4.3600000000000003</v>
      </c>
    </row>
    <row r="8" spans="1:38">
      <c r="A8" s="40" t="s">
        <v>521</v>
      </c>
      <c r="B8">
        <v>1</v>
      </c>
      <c r="D8">
        <v>2024.76</v>
      </c>
      <c r="F8">
        <v>29.63</v>
      </c>
      <c r="G8" s="17">
        <f>F8+J8</f>
        <v>72.142499999999998</v>
      </c>
      <c r="H8">
        <v>-1019.51</v>
      </c>
      <c r="I8">
        <v>3999.76</v>
      </c>
      <c r="J8" s="8">
        <f>63.6533-21.1408</f>
        <v>42.512500000000003</v>
      </c>
      <c r="K8" s="17" t="s">
        <v>522</v>
      </c>
      <c r="L8">
        <v>4000</v>
      </c>
      <c r="M8">
        <f>G8/10+0.1</f>
        <v>7.3142499999999995</v>
      </c>
      <c r="N8">
        <f>H8</f>
        <v>-1019.51</v>
      </c>
      <c r="O8">
        <f>D8</f>
        <v>2024.76</v>
      </c>
      <c r="P8">
        <f>I8</f>
        <v>3999.76</v>
      </c>
      <c r="Q8">
        <f>F9/10</f>
        <v>3.6999999999999998E-2</v>
      </c>
      <c r="R8">
        <f>H9</f>
        <v>2.94</v>
      </c>
      <c r="S8">
        <v>0</v>
      </c>
      <c r="T8">
        <f>I9</f>
        <v>0.7</v>
      </c>
    </row>
    <row r="9" spans="1:38">
      <c r="F9">
        <v>0.37</v>
      </c>
      <c r="H9">
        <v>2.94</v>
      </c>
      <c r="I9">
        <v>0.7</v>
      </c>
    </row>
    <row r="10" spans="1:38">
      <c r="A10" s="59" t="s">
        <v>108</v>
      </c>
      <c r="D10">
        <v>1791.38</v>
      </c>
      <c r="E10" t="s">
        <v>523</v>
      </c>
      <c r="F10">
        <v>91.47</v>
      </c>
      <c r="G10" s="17">
        <f>F10+J10</f>
        <v>140.4178</v>
      </c>
      <c r="H10">
        <v>-1015.48</v>
      </c>
      <c r="I10">
        <v>3999.05</v>
      </c>
      <c r="J10" s="35">
        <f>145.519-96.5712</f>
        <v>48.947800000000001</v>
      </c>
      <c r="K10" s="17" t="s">
        <v>169</v>
      </c>
      <c r="L10">
        <v>4000</v>
      </c>
      <c r="M10">
        <f>G10/10+F11/10</f>
        <v>14.397779999999999</v>
      </c>
      <c r="N10">
        <f>H10</f>
        <v>-1015.48</v>
      </c>
      <c r="O10">
        <f>D10</f>
        <v>1791.38</v>
      </c>
      <c r="P10">
        <f>I10</f>
        <v>3999.05</v>
      </c>
      <c r="Q10">
        <f>F11/10</f>
        <v>0.35599999999999998</v>
      </c>
      <c r="R10">
        <f>H11</f>
        <v>2.06</v>
      </c>
      <c r="S10">
        <v>0</v>
      </c>
      <c r="T10">
        <f>I11</f>
        <v>1.34</v>
      </c>
      <c r="U10" s="87"/>
    </row>
    <row r="11" spans="1:38">
      <c r="F11">
        <v>3.56</v>
      </c>
      <c r="H11">
        <v>2.06</v>
      </c>
      <c r="I11">
        <v>1.34</v>
      </c>
      <c r="U11" s="87"/>
    </row>
    <row r="12" spans="1:38">
      <c r="A12" s="40" t="s">
        <v>115</v>
      </c>
      <c r="D12">
        <v>1525.8</v>
      </c>
      <c r="F12">
        <v>244.66</v>
      </c>
      <c r="G12" s="17">
        <f>F12+J12</f>
        <v>302.72399999999999</v>
      </c>
      <c r="H12">
        <v>-1008.91</v>
      </c>
      <c r="I12">
        <v>4000.41</v>
      </c>
      <c r="J12" s="40">
        <f>284.529-226.465</f>
        <v>58.063999999999993</v>
      </c>
      <c r="K12" s="17" t="s">
        <v>169</v>
      </c>
      <c r="L12">
        <v>4000</v>
      </c>
      <c r="M12">
        <f>G12/10</f>
        <v>30.272399999999998</v>
      </c>
      <c r="N12">
        <f>H12</f>
        <v>-1008.91</v>
      </c>
      <c r="O12">
        <f>D12</f>
        <v>1525.8</v>
      </c>
      <c r="P12">
        <f>I12</f>
        <v>4000.41</v>
      </c>
      <c r="Q12">
        <f>F13/10</f>
        <v>0.16599999999999998</v>
      </c>
      <c r="R12">
        <f>I13</f>
        <v>0.98</v>
      </c>
      <c r="S12">
        <v>0</v>
      </c>
      <c r="T12">
        <f>I13</f>
        <v>0.98</v>
      </c>
      <c r="Z12">
        <v>6.0000000000000001E-3</v>
      </c>
    </row>
    <row r="13" spans="1:38">
      <c r="F13">
        <v>1.66</v>
      </c>
      <c r="H13">
        <v>1.02</v>
      </c>
      <c r="I13">
        <v>0.98</v>
      </c>
    </row>
    <row r="14" spans="1:38">
      <c r="A14" s="35" t="s">
        <v>40</v>
      </c>
      <c r="B14">
        <v>1.1000000000000001</v>
      </c>
      <c r="D14">
        <v>2694.96</v>
      </c>
      <c r="F14">
        <v>-32.92</v>
      </c>
      <c r="G14">
        <f>F14+J14</f>
        <v>0.23029999999999973</v>
      </c>
      <c r="H14">
        <v>-1000.28</v>
      </c>
      <c r="I14">
        <v>4001.13</v>
      </c>
      <c r="J14" s="35">
        <f>3.38--29.7703</f>
        <v>33.150300000000001</v>
      </c>
    </row>
    <row r="15" spans="1:38" s="3" customFormat="1">
      <c r="F15">
        <v>1.46</v>
      </c>
      <c r="H15">
        <v>0.94</v>
      </c>
      <c r="I15">
        <v>1.9</v>
      </c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  <c r="AK15" s="87"/>
      <c r="AL15" s="87"/>
    </row>
    <row r="16" spans="1:38" s="3" customFormat="1">
      <c r="A16" s="40" t="s">
        <v>68</v>
      </c>
      <c r="B16">
        <v>0.83799999999999997</v>
      </c>
      <c r="C16" t="s">
        <v>524</v>
      </c>
      <c r="D16">
        <v>1191.53</v>
      </c>
      <c r="F16">
        <v>790.34</v>
      </c>
      <c r="G16" s="17">
        <f>F16+J16</f>
        <v>860.48400000000004</v>
      </c>
      <c r="H16">
        <v>-957.61</v>
      </c>
      <c r="I16">
        <v>3999.79</v>
      </c>
      <c r="J16" s="40">
        <f>867.347-797.203</f>
        <v>70.144000000000005</v>
      </c>
      <c r="K16" s="17" t="s">
        <v>525</v>
      </c>
      <c r="L16">
        <v>4000</v>
      </c>
      <c r="M16">
        <f>G16/10</f>
        <v>86.048400000000001</v>
      </c>
      <c r="N16">
        <f>H16</f>
        <v>-957.61</v>
      </c>
      <c r="O16">
        <f>D16</f>
        <v>1191.53</v>
      </c>
      <c r="P16">
        <f>I16</f>
        <v>3999.79</v>
      </c>
      <c r="Q16">
        <f>F17/10</f>
        <v>0.35</v>
      </c>
      <c r="R16">
        <f>H17</f>
        <v>0.3</v>
      </c>
      <c r="S16">
        <v>0</v>
      </c>
      <c r="T16">
        <f>I17</f>
        <v>2.16</v>
      </c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7"/>
      <c r="AK16" s="87"/>
      <c r="AL16" s="87"/>
    </row>
    <row r="17" spans="1:29">
      <c r="F17">
        <v>3.5</v>
      </c>
      <c r="H17">
        <v>0.3</v>
      </c>
      <c r="I17">
        <v>2.16</v>
      </c>
    </row>
    <row r="18" spans="1:29">
      <c r="A18" s="40" t="s">
        <v>134</v>
      </c>
      <c r="B18" t="s">
        <v>526</v>
      </c>
      <c r="C18" t="s">
        <v>524</v>
      </c>
      <c r="D18">
        <v>1100.1300000000001</v>
      </c>
      <c r="F18">
        <v>1111.71</v>
      </c>
      <c r="G18" s="17">
        <f>F18+J18</f>
        <v>1185.8700000000001</v>
      </c>
      <c r="H18">
        <v>-917.12</v>
      </c>
      <c r="I18">
        <v>3999.43</v>
      </c>
      <c r="J18" s="40">
        <f t="array" ref="J18">1183.42-1109.26</f>
        <v>74.160000000000082</v>
      </c>
      <c r="K18" s="17" t="s">
        <v>169</v>
      </c>
      <c r="L18">
        <v>4000</v>
      </c>
      <c r="M18">
        <f>G18/10</f>
        <v>118.58700000000002</v>
      </c>
      <c r="N18">
        <f>H18</f>
        <v>-917.12</v>
      </c>
      <c r="O18">
        <f>D18</f>
        <v>1100.1300000000001</v>
      </c>
      <c r="P18">
        <f>I18</f>
        <v>3999.43</v>
      </c>
      <c r="Q18">
        <f>F19/10</f>
        <v>0.251</v>
      </c>
      <c r="R18">
        <f>H19</f>
        <v>1.48</v>
      </c>
      <c r="S18">
        <v>0</v>
      </c>
      <c r="T18">
        <f>I19</f>
        <v>1.27</v>
      </c>
    </row>
    <row r="19" spans="1:29">
      <c r="F19">
        <v>2.5099999999999998</v>
      </c>
      <c r="H19">
        <v>1.48</v>
      </c>
      <c r="I19">
        <v>1.27</v>
      </c>
    </row>
    <row r="20" spans="1:29">
      <c r="A20" s="40" t="s">
        <v>424</v>
      </c>
      <c r="B20">
        <v>0.79500000000000004</v>
      </c>
      <c r="C20" t="s">
        <v>527</v>
      </c>
      <c r="D20">
        <v>1017.36</v>
      </c>
      <c r="F20">
        <v>1536.03</v>
      </c>
      <c r="G20" s="17">
        <f>F20+J20</f>
        <v>1610.27</v>
      </c>
      <c r="H20">
        <v>-867.65</v>
      </c>
      <c r="I20">
        <v>4000.34</v>
      </c>
      <c r="J20" s="40">
        <f>1600.25-1526.01</f>
        <v>74.240000000000009</v>
      </c>
      <c r="K20" s="17" t="s">
        <v>169</v>
      </c>
      <c r="L20">
        <v>4000</v>
      </c>
      <c r="M20">
        <f>G20/10</f>
        <v>161.02699999999999</v>
      </c>
      <c r="N20">
        <f>H20</f>
        <v>-867.65</v>
      </c>
      <c r="O20">
        <f>D20</f>
        <v>1017.36</v>
      </c>
      <c r="P20">
        <f>I20</f>
        <v>4000.34</v>
      </c>
      <c r="Q20">
        <f>F21/10</f>
        <v>0.24500000000000002</v>
      </c>
      <c r="R20">
        <f>H21</f>
        <v>0.55000000000000004</v>
      </c>
      <c r="S20">
        <v>0</v>
      </c>
      <c r="T20">
        <f>I21</f>
        <v>0.55000000000000004</v>
      </c>
    </row>
    <row r="21" spans="1:29">
      <c r="F21">
        <v>2.4500000000000002</v>
      </c>
      <c r="H21">
        <v>0.55000000000000004</v>
      </c>
      <c r="I21">
        <v>0.55000000000000004</v>
      </c>
      <c r="L21" s="46">
        <v>4000</v>
      </c>
      <c r="M21" s="46">
        <v>0</v>
      </c>
      <c r="N21" s="46">
        <v>0</v>
      </c>
      <c r="O21" s="46">
        <f>2654-20-40-29</f>
        <v>2565</v>
      </c>
      <c r="P21" s="46">
        <v>4000</v>
      </c>
      <c r="Q21" s="46">
        <v>0</v>
      </c>
      <c r="R21" s="46">
        <v>0</v>
      </c>
      <c r="S21" s="46">
        <v>0</v>
      </c>
      <c r="T21" s="46">
        <v>0</v>
      </c>
    </row>
    <row r="22" spans="1:29">
      <c r="A22" s="12" t="s">
        <v>426</v>
      </c>
      <c r="B22">
        <v>0.65</v>
      </c>
      <c r="D22">
        <v>556.04999999999995</v>
      </c>
      <c r="F22">
        <v>11625.82</v>
      </c>
      <c r="G22">
        <f>F22+J22</f>
        <v>11742.42</v>
      </c>
      <c r="H22">
        <v>423.45</v>
      </c>
      <c r="I22">
        <v>3998.74</v>
      </c>
      <c r="J22" s="7">
        <f>11742.5-11625.9</f>
        <v>116.60000000000036</v>
      </c>
      <c r="K22" t="s">
        <v>528</v>
      </c>
    </row>
    <row r="23" spans="1:29">
      <c r="F23">
        <v>3.34</v>
      </c>
      <c r="H23">
        <v>1.67</v>
      </c>
      <c r="I23">
        <v>2.5</v>
      </c>
    </row>
    <row r="24" spans="1:29">
      <c r="A24" t="s">
        <v>1</v>
      </c>
    </row>
    <row r="26" spans="1:29">
      <c r="A26" s="16" t="s">
        <v>216</v>
      </c>
    </row>
    <row r="27" spans="1:29">
      <c r="A27" s="9" t="s">
        <v>175</v>
      </c>
      <c r="B27" t="s">
        <v>529</v>
      </c>
      <c r="D27">
        <v>2694.96</v>
      </c>
      <c r="F27">
        <v>-43.57</v>
      </c>
      <c r="G27">
        <f>F27+J27</f>
        <v>-11.273000000000003</v>
      </c>
      <c r="H27">
        <v>-1049.48</v>
      </c>
      <c r="I27">
        <v>2999.73</v>
      </c>
      <c r="J27" s="40">
        <f>-10.0989--42.3959</f>
        <v>32.296999999999997</v>
      </c>
      <c r="K27" s="17" t="s">
        <v>530</v>
      </c>
      <c r="L27" s="46">
        <v>3000</v>
      </c>
      <c r="M27" s="46">
        <v>0</v>
      </c>
      <c r="N27" s="46">
        <v>0</v>
      </c>
      <c r="O27" s="46">
        <f>2377+10</f>
        <v>2387</v>
      </c>
      <c r="P27" s="46">
        <v>3000</v>
      </c>
      <c r="Q27" s="46">
        <v>0</v>
      </c>
      <c r="R27" s="46">
        <v>0</v>
      </c>
      <c r="S27" s="46">
        <v>0</v>
      </c>
      <c r="T27" s="46">
        <v>0</v>
      </c>
      <c r="V27" s="83"/>
      <c r="W27" s="83"/>
      <c r="X27" s="83"/>
      <c r="Y27" s="83"/>
      <c r="Z27" s="83"/>
      <c r="AA27" s="83"/>
      <c r="AB27" s="83"/>
      <c r="AC27" s="83"/>
    </row>
    <row r="28" spans="1:29">
      <c r="F28">
        <v>1.74</v>
      </c>
      <c r="H28">
        <v>1.52</v>
      </c>
      <c r="I28">
        <v>1.07</v>
      </c>
    </row>
    <row r="29" spans="1:29">
      <c r="A29" s="40" t="s">
        <v>217</v>
      </c>
      <c r="B29" t="s">
        <v>531</v>
      </c>
      <c r="D29">
        <v>2024.76</v>
      </c>
      <c r="F29">
        <v>4.13</v>
      </c>
      <c r="G29">
        <f>F29+J29</f>
        <v>47.190000000000005</v>
      </c>
      <c r="H29">
        <v>-1061.96</v>
      </c>
      <c r="I29">
        <v>3000.07</v>
      </c>
      <c r="J29" s="40">
        <f>53.01-9.95</f>
        <v>43.06</v>
      </c>
      <c r="K29" s="17" t="s">
        <v>532</v>
      </c>
      <c r="L29">
        <v>3000</v>
      </c>
      <c r="M29" s="87">
        <f>G29/10</f>
        <v>4.7190000000000003</v>
      </c>
      <c r="N29">
        <f>H29</f>
        <v>-1061.96</v>
      </c>
      <c r="O29">
        <f>D29</f>
        <v>2024.76</v>
      </c>
      <c r="P29">
        <f>I29</f>
        <v>3000.07</v>
      </c>
      <c r="Q29">
        <f>F30/10</f>
        <v>7.6999999999999999E-2</v>
      </c>
      <c r="R29">
        <f>H30</f>
        <v>0.51</v>
      </c>
      <c r="S29">
        <v>0</v>
      </c>
      <c r="T29">
        <f>I30</f>
        <v>0.44</v>
      </c>
    </row>
    <row r="30" spans="1:29">
      <c r="A30" s="66"/>
      <c r="F30">
        <v>0.77</v>
      </c>
      <c r="H30">
        <v>0.51</v>
      </c>
      <c r="I30">
        <v>0.44</v>
      </c>
    </row>
    <row r="31" spans="1:29">
      <c r="A31" s="40" t="s">
        <v>223</v>
      </c>
      <c r="B31" t="s">
        <v>533</v>
      </c>
      <c r="D31">
        <v>1791.38</v>
      </c>
      <c r="F31">
        <v>62.27</v>
      </c>
      <c r="G31">
        <f>F31+J31</f>
        <v>110.44280000000001</v>
      </c>
      <c r="H31">
        <v>-1056.77</v>
      </c>
      <c r="I31">
        <v>3000.11</v>
      </c>
      <c r="J31" s="40">
        <f>106.977-58.8042</f>
        <v>48.172800000000002</v>
      </c>
      <c r="K31" s="17"/>
      <c r="L31">
        <v>3000</v>
      </c>
      <c r="M31">
        <f>G31/10</f>
        <v>11.044280000000001</v>
      </c>
      <c r="N31">
        <f>H31</f>
        <v>-1056.77</v>
      </c>
      <c r="O31">
        <f>D31</f>
        <v>1791.38</v>
      </c>
      <c r="P31">
        <f>I31</f>
        <v>3000.11</v>
      </c>
      <c r="Q31">
        <f>F32/10</f>
        <v>0.14199999999999999</v>
      </c>
      <c r="R31">
        <f>H32</f>
        <v>1.53</v>
      </c>
      <c r="S31">
        <v>0</v>
      </c>
      <c r="T31">
        <f>I32</f>
        <v>0.73</v>
      </c>
      <c r="X31" s="66"/>
    </row>
    <row r="32" spans="1:29">
      <c r="A32" s="66"/>
      <c r="F32">
        <v>1.42</v>
      </c>
      <c r="H32">
        <v>1.53</v>
      </c>
      <c r="I32">
        <v>0.73</v>
      </c>
    </row>
    <row r="33" spans="1:29">
      <c r="A33" s="40" t="s">
        <v>436</v>
      </c>
      <c r="B33" t="s">
        <v>534</v>
      </c>
      <c r="D33">
        <v>1525.8</v>
      </c>
      <c r="F33">
        <v>196.61</v>
      </c>
      <c r="G33">
        <f>F33+J33</f>
        <v>253.44300000000001</v>
      </c>
      <c r="H33">
        <v>-1043.55</v>
      </c>
      <c r="I33">
        <v>3000.11</v>
      </c>
      <c r="J33" s="40">
        <f>254.948-198.115</f>
        <v>56.832999999999998</v>
      </c>
      <c r="K33" s="17"/>
      <c r="L33">
        <v>3000</v>
      </c>
      <c r="M33">
        <f>G33/10</f>
        <v>25.3443</v>
      </c>
      <c r="N33">
        <f>H33</f>
        <v>-1043.55</v>
      </c>
      <c r="O33">
        <f>D33</f>
        <v>1525.8</v>
      </c>
      <c r="P33">
        <f>I33</f>
        <v>3000.11</v>
      </c>
      <c r="Q33">
        <f>F34/10</f>
        <v>0.45800000000000002</v>
      </c>
      <c r="R33">
        <f>H34</f>
        <v>0.66</v>
      </c>
      <c r="S33">
        <v>0</v>
      </c>
      <c r="T33">
        <f>I34</f>
        <v>1.1200000000000001</v>
      </c>
    </row>
    <row r="34" spans="1:29">
      <c r="F34">
        <v>4.58</v>
      </c>
      <c r="H34">
        <v>0.66</v>
      </c>
      <c r="I34">
        <v>1.1200000000000001</v>
      </c>
      <c r="V34" s="66"/>
      <c r="W34" s="66"/>
      <c r="X34" s="66"/>
      <c r="Y34" s="66"/>
      <c r="Z34" s="66"/>
      <c r="AA34" s="66"/>
      <c r="AB34" s="66"/>
      <c r="AC34" s="66"/>
    </row>
    <row r="35" spans="1:29">
      <c r="A35" s="40" t="s">
        <v>227</v>
      </c>
      <c r="B35" t="s">
        <v>535</v>
      </c>
      <c r="D35">
        <v>1287.8599999999999</v>
      </c>
      <c r="F35">
        <v>466.05</v>
      </c>
      <c r="G35">
        <f>F35+J35</f>
        <v>530.48800000000006</v>
      </c>
      <c r="H35">
        <v>-1020.73</v>
      </c>
      <c r="I35">
        <v>2999.64</v>
      </c>
      <c r="J35" s="40">
        <f>529.013-464.575</f>
        <v>64.438000000000045</v>
      </c>
      <c r="K35" s="17"/>
      <c r="L35">
        <v>3000</v>
      </c>
      <c r="M35" s="46">
        <f>G35/10+1.2</f>
        <v>54.24880000000001</v>
      </c>
      <c r="N35">
        <f>H35</f>
        <v>-1020.73</v>
      </c>
      <c r="O35">
        <f>D35</f>
        <v>1287.8599999999999</v>
      </c>
      <c r="P35">
        <f>I35</f>
        <v>2999.64</v>
      </c>
      <c r="Q35">
        <f>F36/10</f>
        <v>0.378</v>
      </c>
      <c r="R35">
        <f>H36</f>
        <v>0.64</v>
      </c>
      <c r="S35">
        <v>0</v>
      </c>
      <c r="T35">
        <f>I36</f>
        <v>1.27</v>
      </c>
      <c r="V35" s="66"/>
      <c r="W35" s="66"/>
      <c r="X35" s="66"/>
      <c r="Y35" s="66"/>
      <c r="Z35" s="66"/>
      <c r="AA35" s="66"/>
      <c r="AB35" s="66"/>
      <c r="AC35" s="66"/>
    </row>
    <row r="36" spans="1:29">
      <c r="A36" s="66"/>
      <c r="F36">
        <v>3.78</v>
      </c>
      <c r="H36">
        <v>0.64</v>
      </c>
      <c r="I36">
        <v>1.27</v>
      </c>
      <c r="V36" s="66"/>
      <c r="W36" s="66"/>
      <c r="X36" s="66"/>
      <c r="Y36" s="66"/>
      <c r="Z36" s="66"/>
      <c r="AA36" s="66"/>
      <c r="AB36" s="66"/>
      <c r="AC36" s="66"/>
    </row>
    <row r="37" spans="1:29">
      <c r="A37" s="40" t="s">
        <v>58</v>
      </c>
      <c r="B37" t="s">
        <v>536</v>
      </c>
      <c r="D37">
        <v>1191.53</v>
      </c>
      <c r="F37">
        <v>709.08</v>
      </c>
      <c r="G37">
        <f>F37+J37</f>
        <v>778.64800000000002</v>
      </c>
      <c r="H37">
        <v>-994.96</v>
      </c>
      <c r="I37">
        <v>3000.24</v>
      </c>
      <c r="J37" s="40">
        <f>750.495-680.927</f>
        <v>69.567999999999984</v>
      </c>
      <c r="K37" s="17" t="s">
        <v>169</v>
      </c>
      <c r="L37">
        <v>3000</v>
      </c>
      <c r="M37">
        <f>G37/10</f>
        <v>77.864800000000002</v>
      </c>
      <c r="N37">
        <f>H37</f>
        <v>-994.96</v>
      </c>
      <c r="O37">
        <f>D37</f>
        <v>1191.53</v>
      </c>
      <c r="P37">
        <f>I37</f>
        <v>3000.24</v>
      </c>
      <c r="Q37">
        <f>F38/10</f>
        <v>0.23700000000000002</v>
      </c>
      <c r="R37">
        <f>H38</f>
        <v>0.44</v>
      </c>
      <c r="S37">
        <v>0</v>
      </c>
      <c r="T37">
        <f>I38</f>
        <v>0.89</v>
      </c>
    </row>
    <row r="38" spans="1:29">
      <c r="A38" s="66"/>
      <c r="F38">
        <v>2.37</v>
      </c>
      <c r="H38">
        <v>0.44</v>
      </c>
      <c r="I38">
        <v>0.89</v>
      </c>
    </row>
    <row r="39" spans="1:29">
      <c r="A39" s="40" t="s">
        <v>54</v>
      </c>
      <c r="B39" t="s">
        <v>537</v>
      </c>
      <c r="D39">
        <v>1100.1300000000001</v>
      </c>
      <c r="F39">
        <v>1018.68</v>
      </c>
      <c r="G39">
        <f>F39+J39</f>
        <v>1092.6299999999999</v>
      </c>
      <c r="H39">
        <v>-947.56</v>
      </c>
      <c r="I39">
        <v>3000.22</v>
      </c>
      <c r="J39" s="40">
        <f>1087.07-1013.12</f>
        <v>73.949999999999932</v>
      </c>
      <c r="K39" s="17" t="s">
        <v>538</v>
      </c>
      <c r="L39">
        <v>3000</v>
      </c>
      <c r="M39">
        <f>G39/10</f>
        <v>109.26299999999999</v>
      </c>
      <c r="N39">
        <f>H39</f>
        <v>-947.56</v>
      </c>
      <c r="O39">
        <f>D39</f>
        <v>1100.1300000000001</v>
      </c>
      <c r="P39">
        <f>I39</f>
        <v>3000.22</v>
      </c>
      <c r="Q39">
        <f>F40/10</f>
        <v>0.217</v>
      </c>
      <c r="R39">
        <f>H40</f>
        <v>0.69</v>
      </c>
      <c r="S39">
        <v>0</v>
      </c>
      <c r="T39">
        <f>I40</f>
        <v>0.26</v>
      </c>
    </row>
    <row r="40" spans="1:29">
      <c r="A40" s="66"/>
      <c r="F40">
        <v>2.17</v>
      </c>
      <c r="H40">
        <v>0.69</v>
      </c>
      <c r="I40">
        <v>0.26</v>
      </c>
    </row>
    <row r="41" spans="1:29">
      <c r="A41" s="40" t="s">
        <v>56</v>
      </c>
      <c r="B41" t="s">
        <v>539</v>
      </c>
      <c r="D41">
        <v>1017.36</v>
      </c>
      <c r="F41">
        <v>1440.9</v>
      </c>
      <c r="G41">
        <f>F41+J41</f>
        <v>1515.22</v>
      </c>
      <c r="H41">
        <v>-896.07</v>
      </c>
      <c r="I41">
        <v>3000.21</v>
      </c>
      <c r="J41" s="40">
        <f>1520.06-1445.74</f>
        <v>74.319999999999936</v>
      </c>
      <c r="K41" s="17" t="s">
        <v>540</v>
      </c>
      <c r="L41">
        <v>3000</v>
      </c>
      <c r="M41">
        <f>G41/10</f>
        <v>151.52199999999999</v>
      </c>
      <c r="N41">
        <f>H41</f>
        <v>-896.07</v>
      </c>
      <c r="O41">
        <f>D41</f>
        <v>1017.36</v>
      </c>
      <c r="P41">
        <f>I41</f>
        <v>3000.21</v>
      </c>
      <c r="Q41">
        <f>F42/10</f>
        <v>0.35699999999999998</v>
      </c>
      <c r="R41">
        <f>H42</f>
        <v>0.1</v>
      </c>
      <c r="S41">
        <v>0</v>
      </c>
      <c r="T41">
        <f>I42</f>
        <v>1.44</v>
      </c>
    </row>
    <row r="42" spans="1:29">
      <c r="F42">
        <v>3.57</v>
      </c>
      <c r="H42">
        <v>0.1</v>
      </c>
      <c r="I42">
        <v>1.44</v>
      </c>
    </row>
    <row r="43" spans="1:29">
      <c r="A43" s="12" t="s">
        <v>163</v>
      </c>
      <c r="B43">
        <v>0.65</v>
      </c>
      <c r="D43">
        <v>556.04999999999995</v>
      </c>
      <c r="F43">
        <v>11502.95</v>
      </c>
      <c r="G43">
        <f>F43+J43</f>
        <v>11621.25</v>
      </c>
      <c r="H43">
        <v>414.74</v>
      </c>
      <c r="I43">
        <v>3001.31</v>
      </c>
      <c r="J43" s="40">
        <f>11614.3-11496</f>
        <v>118.29999999999927</v>
      </c>
    </row>
    <row r="44" spans="1:29">
      <c r="F44">
        <v>9.15</v>
      </c>
      <c r="H44">
        <v>1</v>
      </c>
      <c r="I44">
        <v>1.8</v>
      </c>
      <c r="U44" s="66"/>
    </row>
    <row r="45" spans="1:29">
      <c r="A45" s="35" t="s">
        <v>244</v>
      </c>
      <c r="B45">
        <v>0.88500000000000001</v>
      </c>
      <c r="D45">
        <v>1403.47</v>
      </c>
      <c r="F45">
        <v>306.10000000000002</v>
      </c>
      <c r="G45">
        <f>F45+J45</f>
        <v>366.04400000000004</v>
      </c>
      <c r="H45">
        <v>-1035.5</v>
      </c>
      <c r="I45">
        <v>3000</v>
      </c>
      <c r="J45" s="35">
        <f>374.112-314.168</f>
        <v>59.944000000000017</v>
      </c>
      <c r="L45">
        <v>3000</v>
      </c>
      <c r="M45">
        <f>G45/10</f>
        <v>36.604400000000005</v>
      </c>
      <c r="N45">
        <f>H45</f>
        <v>-1035.5</v>
      </c>
      <c r="O45">
        <f>D45</f>
        <v>1403.47</v>
      </c>
      <c r="P45">
        <f>I45</f>
        <v>3000</v>
      </c>
      <c r="Q45">
        <f>F46/10</f>
        <v>0.76100000000000001</v>
      </c>
      <c r="R45">
        <f>H46</f>
        <v>0.95</v>
      </c>
      <c r="S45">
        <v>0</v>
      </c>
      <c r="T45">
        <f>I46</f>
        <v>0.5</v>
      </c>
      <c r="U45" s="66"/>
    </row>
    <row r="46" spans="1:29">
      <c r="F46">
        <v>7.61</v>
      </c>
      <c r="H46">
        <v>0.95</v>
      </c>
      <c r="I46">
        <v>0.5</v>
      </c>
      <c r="U46" s="66"/>
    </row>
    <row r="47" spans="1:29">
      <c r="A47" t="s">
        <v>541</v>
      </c>
    </row>
    <row r="48" spans="1:29">
      <c r="A48" s="66" t="s">
        <v>44</v>
      </c>
      <c r="C48">
        <v>-22</v>
      </c>
      <c r="D48" s="21">
        <v>2024.76</v>
      </c>
      <c r="F48" s="25">
        <v>-3.46</v>
      </c>
      <c r="G48">
        <f>F48+J48</f>
        <v>38.828650000000003</v>
      </c>
      <c r="H48" s="25">
        <v>-1076.73</v>
      </c>
      <c r="I48" s="25">
        <v>2500.5</v>
      </c>
      <c r="J48">
        <f>47.753-5.46435</f>
        <v>42.288650000000004</v>
      </c>
      <c r="L48">
        <v>2500</v>
      </c>
      <c r="M48">
        <f>G48/10</f>
        <v>3.8828650000000002</v>
      </c>
      <c r="N48">
        <f>H48</f>
        <v>-1076.73</v>
      </c>
      <c r="O48">
        <f>D48</f>
        <v>2024.76</v>
      </c>
      <c r="P48">
        <f>I48</f>
        <v>2500.5</v>
      </c>
      <c r="Q48">
        <f>F49/10</f>
        <v>7.8E-2</v>
      </c>
      <c r="R48">
        <f>H49</f>
        <v>0.96</v>
      </c>
      <c r="S48">
        <v>0</v>
      </c>
      <c r="T48">
        <f>I49</f>
        <v>1.07</v>
      </c>
    </row>
    <row r="49" spans="1:20">
      <c r="A49" s="66"/>
      <c r="F49" s="25">
        <v>0.78</v>
      </c>
      <c r="H49" s="25">
        <v>0.96</v>
      </c>
      <c r="I49" s="25">
        <v>1.07</v>
      </c>
    </row>
    <row r="50" spans="1:20">
      <c r="A50" s="66" t="s">
        <v>46</v>
      </c>
      <c r="C50">
        <v>5.6</v>
      </c>
      <c r="D50" s="21">
        <v>1791.38</v>
      </c>
      <c r="F50" s="25">
        <v>46.81</v>
      </c>
      <c r="G50">
        <f>F50+J50</f>
        <v>94.925100000000015</v>
      </c>
      <c r="H50" s="25">
        <v>-1075.31</v>
      </c>
      <c r="I50" s="25">
        <v>2499.9899999999998</v>
      </c>
      <c r="J50">
        <f>80.8054-32.6903</f>
        <v>48.115100000000005</v>
      </c>
      <c r="L50">
        <v>2500</v>
      </c>
      <c r="M50">
        <f>G50/10</f>
        <v>9.4925100000000011</v>
      </c>
      <c r="N50">
        <f>H50</f>
        <v>-1075.31</v>
      </c>
      <c r="O50">
        <f>D50</f>
        <v>1791.38</v>
      </c>
      <c r="P50">
        <f>I50</f>
        <v>2499.9899999999998</v>
      </c>
      <c r="Q50">
        <f>F51/10</f>
        <v>0.10100000000000001</v>
      </c>
      <c r="R50">
        <f>H51</f>
        <v>0.5</v>
      </c>
      <c r="S50">
        <v>0</v>
      </c>
      <c r="T50">
        <f>I51</f>
        <v>0.67</v>
      </c>
    </row>
    <row r="51" spans="1:20">
      <c r="A51" s="66"/>
      <c r="F51" s="25">
        <v>1.01</v>
      </c>
      <c r="H51" s="25">
        <v>0.5</v>
      </c>
      <c r="I51" s="25">
        <v>0.67</v>
      </c>
    </row>
    <row r="52" spans="1:20">
      <c r="A52" s="66" t="s">
        <v>48</v>
      </c>
      <c r="C52">
        <v>17</v>
      </c>
      <c r="D52" s="21">
        <v>1525.8</v>
      </c>
      <c r="F52" s="25">
        <v>164.04</v>
      </c>
      <c r="G52">
        <f>F52+J52</f>
        <v>221.19199999999998</v>
      </c>
      <c r="H52" s="25">
        <v>-1059.4100000000001</v>
      </c>
      <c r="I52" s="25">
        <v>2498.8000000000002</v>
      </c>
      <c r="J52">
        <f>212.982-155.83</f>
        <v>57.151999999999987</v>
      </c>
      <c r="K52" s="25">
        <v>6379</v>
      </c>
      <c r="L52">
        <v>2500</v>
      </c>
      <c r="M52">
        <f>G52/10</f>
        <v>22.119199999999999</v>
      </c>
      <c r="N52">
        <f>H52</f>
        <v>-1059.4100000000001</v>
      </c>
      <c r="O52">
        <f>D52</f>
        <v>1525.8</v>
      </c>
      <c r="P52">
        <f>I52</f>
        <v>2498.8000000000002</v>
      </c>
      <c r="Q52">
        <f>F53/10</f>
        <v>0.36399999999999999</v>
      </c>
      <c r="R52">
        <f>H53</f>
        <v>0.76</v>
      </c>
      <c r="S52">
        <v>0</v>
      </c>
      <c r="T52">
        <f>I53</f>
        <v>3.34</v>
      </c>
    </row>
    <row r="53" spans="1:20">
      <c r="A53" s="66"/>
      <c r="F53" s="25">
        <v>3.64</v>
      </c>
      <c r="H53" s="25">
        <v>0.76</v>
      </c>
      <c r="I53" s="25">
        <v>3.34</v>
      </c>
    </row>
    <row r="54" spans="1:20">
      <c r="A54" s="66" t="s">
        <v>50</v>
      </c>
      <c r="C54">
        <v>45</v>
      </c>
      <c r="D54" s="21">
        <v>1287.8599999999999</v>
      </c>
      <c r="F54" s="25">
        <v>439.23</v>
      </c>
      <c r="G54">
        <f>F54+J54</f>
        <v>503.56900000000002</v>
      </c>
      <c r="H54" s="25">
        <v>-1034.29</v>
      </c>
      <c r="I54" s="25">
        <v>2499.98</v>
      </c>
      <c r="J54">
        <f>517.442-453.103</f>
        <v>64.338999999999999</v>
      </c>
      <c r="L54">
        <v>2500</v>
      </c>
      <c r="M54">
        <f>G54/10</f>
        <v>50.356900000000003</v>
      </c>
      <c r="N54">
        <f>H54</f>
        <v>-1034.29</v>
      </c>
      <c r="O54">
        <f>D54</f>
        <v>1287.8599999999999</v>
      </c>
      <c r="P54">
        <f>I54</f>
        <v>2499.98</v>
      </c>
      <c r="Q54">
        <f>F55/10</f>
        <v>0.37</v>
      </c>
      <c r="R54">
        <f>H55</f>
        <v>0.74</v>
      </c>
      <c r="S54">
        <v>0</v>
      </c>
      <c r="T54">
        <f>I55</f>
        <v>0.7</v>
      </c>
    </row>
    <row r="55" spans="1:20">
      <c r="A55" s="66"/>
      <c r="F55" s="25">
        <v>3.7</v>
      </c>
      <c r="H55" s="25">
        <v>0.74</v>
      </c>
      <c r="I55" s="25">
        <v>0.7</v>
      </c>
    </row>
    <row r="56" spans="1:20">
      <c r="A56" s="66" t="s">
        <v>52</v>
      </c>
      <c r="C56">
        <v>66</v>
      </c>
      <c r="D56" s="21">
        <v>1191.53</v>
      </c>
      <c r="F56" s="25">
        <v>665.8</v>
      </c>
      <c r="G56">
        <f>F56+J56</f>
        <v>736.55599999999993</v>
      </c>
      <c r="H56" s="25">
        <v>-1008.17</v>
      </c>
      <c r="I56" s="25">
        <v>2499.9699999999998</v>
      </c>
      <c r="J56">
        <f>747.35-676.594</f>
        <v>70.755999999999972</v>
      </c>
    </row>
    <row r="57" spans="1:20">
      <c r="F57" s="25">
        <v>3.04</v>
      </c>
      <c r="H57" s="25">
        <v>0.4</v>
      </c>
      <c r="I57" s="25">
        <v>0.33</v>
      </c>
    </row>
    <row r="58" spans="1:20">
      <c r="A58">
        <v>2000</v>
      </c>
      <c r="F58" s="25"/>
      <c r="H58" s="25"/>
      <c r="I58" s="25"/>
    </row>
    <row r="59" spans="1:20">
      <c r="A59" t="s">
        <v>178</v>
      </c>
      <c r="D59" s="21">
        <v>2024.76</v>
      </c>
      <c r="F59" s="25">
        <v>-10.96</v>
      </c>
      <c r="G59">
        <f>F59+J59</f>
        <v>33.856999999999999</v>
      </c>
      <c r="H59" s="25">
        <v>-1094.49</v>
      </c>
      <c r="I59" s="25">
        <v>1999.49</v>
      </c>
      <c r="J59">
        <f>42.777--2.04</f>
        <v>44.817</v>
      </c>
      <c r="L59">
        <v>2000</v>
      </c>
      <c r="M59">
        <f>G59/10</f>
        <v>3.3856999999999999</v>
      </c>
      <c r="N59">
        <f>H59</f>
        <v>-1094.49</v>
      </c>
      <c r="O59">
        <f>D59</f>
        <v>2024.76</v>
      </c>
      <c r="P59">
        <f>I59</f>
        <v>1999.49</v>
      </c>
      <c r="Q59">
        <f>F60/10</f>
        <v>0.40400000000000003</v>
      </c>
      <c r="R59">
        <f>H60</f>
        <v>0.55000000000000004</v>
      </c>
      <c r="S59">
        <v>0</v>
      </c>
      <c r="T59">
        <f>I60</f>
        <v>0.33</v>
      </c>
    </row>
    <row r="60" spans="1:20">
      <c r="F60" s="21">
        <v>4.04</v>
      </c>
      <c r="H60" s="25">
        <v>0.55000000000000004</v>
      </c>
      <c r="I60" s="25">
        <v>0.33</v>
      </c>
    </row>
    <row r="61" spans="1:20">
      <c r="A61" t="s">
        <v>180</v>
      </c>
      <c r="D61" s="21">
        <v>1791.38</v>
      </c>
      <c r="F61" s="25">
        <v>38.67</v>
      </c>
      <c r="G61">
        <f>F61+J61</f>
        <v>88.97059999999999</v>
      </c>
      <c r="H61" s="25">
        <v>-1090.3800000000001</v>
      </c>
      <c r="I61" s="25">
        <v>1999.63</v>
      </c>
      <c r="J61">
        <f>87.8064-37.5058</f>
        <v>50.300599999999996</v>
      </c>
      <c r="L61">
        <v>2000</v>
      </c>
      <c r="M61">
        <f>G61/10</f>
        <v>8.8970599999999997</v>
      </c>
      <c r="N61">
        <f>H61</f>
        <v>-1090.3800000000001</v>
      </c>
      <c r="O61">
        <f>D61</f>
        <v>1791.38</v>
      </c>
      <c r="P61">
        <f>I61</f>
        <v>1999.63</v>
      </c>
      <c r="Q61">
        <f>F62/10</f>
        <v>0.23500000000000001</v>
      </c>
      <c r="R61">
        <f>H62</f>
        <v>0.17</v>
      </c>
      <c r="S61">
        <v>0</v>
      </c>
      <c r="T61">
        <f>I62</f>
        <v>0.61</v>
      </c>
    </row>
    <row r="62" spans="1:20">
      <c r="F62" s="25">
        <v>2.35</v>
      </c>
      <c r="H62" s="25">
        <v>0.17</v>
      </c>
      <c r="I62" s="25">
        <v>0.61</v>
      </c>
    </row>
    <row r="63" spans="1:20">
      <c r="A63" t="s">
        <v>182</v>
      </c>
      <c r="D63" s="21">
        <v>1525.8</v>
      </c>
      <c r="F63" s="25">
        <v>146.01</v>
      </c>
      <c r="G63">
        <f>F63+J63</f>
        <v>205.453</v>
      </c>
      <c r="H63" s="25">
        <v>-1080.23</v>
      </c>
      <c r="I63" s="25">
        <v>2000.2</v>
      </c>
      <c r="J63">
        <f>212.852-153.409</f>
        <v>59.443000000000012</v>
      </c>
      <c r="K63" t="s">
        <v>542</v>
      </c>
      <c r="L63">
        <v>2000</v>
      </c>
      <c r="M63">
        <f>G63/10</f>
        <v>20.545300000000001</v>
      </c>
      <c r="N63">
        <f>H63</f>
        <v>-1080.23</v>
      </c>
      <c r="O63">
        <f>D63</f>
        <v>1525.8</v>
      </c>
      <c r="P63">
        <f>I63</f>
        <v>2000.2</v>
      </c>
      <c r="Q63">
        <f>F64/10</f>
        <v>0.22900000000000001</v>
      </c>
      <c r="R63">
        <f>H64</f>
        <v>0.13</v>
      </c>
      <c r="S63">
        <v>0</v>
      </c>
      <c r="T63">
        <f>I64</f>
        <v>0.6</v>
      </c>
    </row>
    <row r="64" spans="1:20">
      <c r="F64" s="25">
        <v>2.29</v>
      </c>
      <c r="H64" s="25">
        <v>0.13</v>
      </c>
      <c r="I64" s="25">
        <v>0.6</v>
      </c>
    </row>
    <row r="66" spans="1:26" s="66" customFormat="1">
      <c r="A66" s="66" t="s">
        <v>543</v>
      </c>
      <c r="D66" s="66" t="s">
        <v>544</v>
      </c>
      <c r="E66" s="66" t="s">
        <v>545</v>
      </c>
    </row>
    <row r="67" spans="1:26" s="1" customFormat="1">
      <c r="A67" s="1" t="s">
        <v>3</v>
      </c>
      <c r="B67" s="1" t="s">
        <v>4</v>
      </c>
      <c r="C67" t="s">
        <v>5</v>
      </c>
      <c r="D67" t="s">
        <v>6</v>
      </c>
      <c r="E67" t="s">
        <v>7</v>
      </c>
      <c r="F67" t="s">
        <v>8</v>
      </c>
      <c r="G67" s="1" t="s">
        <v>9</v>
      </c>
      <c r="I67" s="1" t="s">
        <v>10</v>
      </c>
      <c r="J67" s="1" t="s">
        <v>11</v>
      </c>
      <c r="K67" s="1" t="s">
        <v>97</v>
      </c>
      <c r="L67" s="1" t="s">
        <v>98</v>
      </c>
      <c r="N67" s="1" t="s">
        <v>6</v>
      </c>
    </row>
    <row r="68" spans="1:26" s="1" customFormat="1">
      <c r="A68" s="1">
        <v>0</v>
      </c>
      <c r="B68" s="1">
        <v>0</v>
      </c>
      <c r="C68">
        <v>30</v>
      </c>
      <c r="D68">
        <v>2</v>
      </c>
      <c r="E68">
        <v>32</v>
      </c>
      <c r="F68">
        <f>48*2</f>
        <v>96</v>
      </c>
      <c r="J68" s="1">
        <f>D68*72/G69</f>
        <v>4.3957654126524782E-2</v>
      </c>
      <c r="K68" s="1">
        <f>A68/2*18/G69</f>
        <v>0</v>
      </c>
      <c r="L68" s="1">
        <f>B68*(12+32)/G69</f>
        <v>0</v>
      </c>
      <c r="N68" s="5">
        <f>D68*2/(C68+D68+E68)</f>
        <v>6.25E-2</v>
      </c>
      <c r="O68" s="1">
        <f>SUM(A68:F68)</f>
        <v>160</v>
      </c>
    </row>
    <row r="69" spans="1:26" s="1" customFormat="1">
      <c r="A69" s="1">
        <v>1</v>
      </c>
      <c r="B69" s="1">
        <v>12.01</v>
      </c>
      <c r="C69" s="1">
        <v>24.31</v>
      </c>
      <c r="D69" s="1">
        <v>55.85</v>
      </c>
      <c r="E69" s="1">
        <v>28.09</v>
      </c>
      <c r="F69" s="1">
        <v>16</v>
      </c>
      <c r="G69" s="1">
        <f>A68*A69+B69*B68+C69*C68+D69*D68+E69*E68+F69*F68</f>
        <v>3275.88</v>
      </c>
      <c r="I69" s="2">
        <v>6.0220000000000003E+23</v>
      </c>
    </row>
    <row r="70" spans="1:26">
      <c r="A70" s="46" t="s">
        <v>147</v>
      </c>
      <c r="M70" s="83" t="s">
        <v>17</v>
      </c>
      <c r="N70" s="83" t="s">
        <v>18</v>
      </c>
      <c r="O70" s="83" t="s">
        <v>19</v>
      </c>
      <c r="P70" s="83" t="s">
        <v>15</v>
      </c>
      <c r="Q70" s="83" t="s">
        <v>20</v>
      </c>
      <c r="R70" s="83" t="s">
        <v>21</v>
      </c>
      <c r="S70" s="83" t="s">
        <v>22</v>
      </c>
      <c r="T70" s="83" t="s">
        <v>23</v>
      </c>
      <c r="V70" s="83" t="s">
        <v>5</v>
      </c>
      <c r="W70" s="83" t="s">
        <v>6</v>
      </c>
      <c r="X70" s="83" t="s">
        <v>7</v>
      </c>
      <c r="Y70" s="83" t="s">
        <v>8</v>
      </c>
    </row>
    <row r="71" spans="1:26">
      <c r="A71" s="35" t="s">
        <v>175</v>
      </c>
      <c r="B71">
        <v>1.1000000000000001</v>
      </c>
      <c r="D71">
        <v>2694.96</v>
      </c>
      <c r="F71">
        <v>-40.98</v>
      </c>
      <c r="G71">
        <f>F71+J71</f>
        <v>-8.8451999999999984</v>
      </c>
      <c r="H71">
        <v>-1040.2</v>
      </c>
      <c r="I71">
        <v>3000.35</v>
      </c>
      <c r="J71" s="35">
        <f>-10.8466--42.9814</f>
        <v>32.134799999999998</v>
      </c>
      <c r="K71" t="s">
        <v>546</v>
      </c>
      <c r="M71" s="46"/>
      <c r="V71" s="43">
        <v>8.9763692115999994E-9</v>
      </c>
      <c r="W71" s="43">
        <v>2.0653830447200001E-8</v>
      </c>
      <c r="X71" s="43">
        <v>4.9439536486900003E-9</v>
      </c>
      <c r="Y71" s="43">
        <v>6.1483512574899998E-9</v>
      </c>
    </row>
    <row r="72" spans="1:26">
      <c r="F72">
        <v>1.54</v>
      </c>
      <c r="H72">
        <v>0.75</v>
      </c>
      <c r="I72">
        <v>0.73</v>
      </c>
    </row>
    <row r="73" spans="1:26">
      <c r="A73" s="35" t="s">
        <v>217</v>
      </c>
      <c r="B73">
        <v>1</v>
      </c>
      <c r="D73">
        <v>2024.76</v>
      </c>
      <c r="F73">
        <v>4.1900000000000004</v>
      </c>
      <c r="G73">
        <f>F73+J73</f>
        <v>47.545529999999992</v>
      </c>
      <c r="H73">
        <v>-1052.5999999999999</v>
      </c>
      <c r="I73">
        <v>2999.25</v>
      </c>
      <c r="J73" s="35">
        <f>51.5943-8.23877</f>
        <v>43.355529999999995</v>
      </c>
      <c r="K73" t="s">
        <v>532</v>
      </c>
      <c r="L73">
        <v>3000</v>
      </c>
      <c r="M73">
        <f>G73/10</f>
        <v>4.7545529999999996</v>
      </c>
      <c r="N73">
        <f>H73</f>
        <v>-1052.5999999999999</v>
      </c>
      <c r="O73">
        <f>D73</f>
        <v>2024.76</v>
      </c>
      <c r="P73">
        <f>I73</f>
        <v>2999.25</v>
      </c>
      <c r="Q73">
        <f>F74/10</f>
        <v>0.24</v>
      </c>
      <c r="R73">
        <f>H74</f>
        <v>1.26</v>
      </c>
      <c r="S73">
        <v>0</v>
      </c>
      <c r="T73">
        <f>I74</f>
        <v>2.2599999999999998</v>
      </c>
      <c r="V73" s="43">
        <v>4.6781765252000001E-9</v>
      </c>
      <c r="W73" s="43">
        <v>3.1504880568299999E-9</v>
      </c>
      <c r="X73" s="43">
        <v>2.0625880937599999E-9</v>
      </c>
      <c r="Y73" s="43">
        <v>2.3835422814599999E-9</v>
      </c>
    </row>
    <row r="74" spans="1:26">
      <c r="F74">
        <v>2.4</v>
      </c>
      <c r="H74">
        <v>1.26</v>
      </c>
      <c r="I74">
        <v>2.2599999999999998</v>
      </c>
    </row>
    <row r="75" spans="1:26">
      <c r="A75" s="35" t="s">
        <v>223</v>
      </c>
      <c r="B75">
        <v>0.96</v>
      </c>
      <c r="D75">
        <v>1791.38</v>
      </c>
      <c r="F75">
        <v>61.67</v>
      </c>
      <c r="G75">
        <f>F75+J75</f>
        <v>109.84280000000001</v>
      </c>
      <c r="H75">
        <v>-1049.29</v>
      </c>
      <c r="I75">
        <v>2999.6</v>
      </c>
      <c r="J75" s="35">
        <f>J31</f>
        <v>48.172800000000002</v>
      </c>
      <c r="K75" t="s">
        <v>547</v>
      </c>
      <c r="L75">
        <v>3000</v>
      </c>
      <c r="M75">
        <f>G75/10</f>
        <v>10.984280000000002</v>
      </c>
      <c r="N75">
        <f>H75</f>
        <v>-1049.29</v>
      </c>
      <c r="O75">
        <f>D75</f>
        <v>1791.38</v>
      </c>
      <c r="P75">
        <f>I75</f>
        <v>2999.6</v>
      </c>
      <c r="Q75">
        <f>F76/10</f>
        <v>0.159</v>
      </c>
      <c r="R75">
        <f>H76</f>
        <v>0.68</v>
      </c>
      <c r="S75">
        <v>0</v>
      </c>
      <c r="T75">
        <f>I76</f>
        <v>0.94</v>
      </c>
      <c r="V75" s="43">
        <v>5.7833056333500001E-9</v>
      </c>
      <c r="W75" s="43">
        <v>2.4876026449899999E-9</v>
      </c>
      <c r="X75" s="43">
        <v>1.73305886902E-9</v>
      </c>
      <c r="Y75" s="43">
        <v>3.5942550054200001E-9</v>
      </c>
      <c r="Z75" t="s">
        <v>42</v>
      </c>
    </row>
    <row r="76" spans="1:26">
      <c r="F76">
        <v>1.59</v>
      </c>
      <c r="H76">
        <v>0.68</v>
      </c>
      <c r="I76">
        <v>0.94</v>
      </c>
    </row>
    <row r="77" spans="1:26">
      <c r="A77" s="35" t="s">
        <v>436</v>
      </c>
      <c r="B77">
        <v>0.91</v>
      </c>
      <c r="D77">
        <v>1525.8</v>
      </c>
      <c r="F77">
        <v>191.83</v>
      </c>
      <c r="G77">
        <f>F77+J77</f>
        <v>248.18800000000002</v>
      </c>
      <c r="H77">
        <v>-1037.0999999999999</v>
      </c>
      <c r="I77">
        <v>2999.87</v>
      </c>
      <c r="J77" s="35">
        <f>240.446-184.088</f>
        <v>56.358000000000004</v>
      </c>
      <c r="K77" t="s">
        <v>548</v>
      </c>
      <c r="L77">
        <v>3000</v>
      </c>
      <c r="M77">
        <f>G77/10</f>
        <v>24.818800000000003</v>
      </c>
      <c r="N77">
        <f>H77</f>
        <v>-1037.0999999999999</v>
      </c>
      <c r="O77">
        <f>D77</f>
        <v>1525.8</v>
      </c>
      <c r="P77">
        <f>I77</f>
        <v>2999.87</v>
      </c>
      <c r="Q77">
        <f>F78/10</f>
        <v>0.25600000000000001</v>
      </c>
      <c r="R77">
        <f>H78</f>
        <v>0.9</v>
      </c>
      <c r="S77">
        <v>0</v>
      </c>
      <c r="T77">
        <f>I78</f>
        <v>0.76</v>
      </c>
      <c r="V77" s="43">
        <v>2.42693622527E-9</v>
      </c>
      <c r="W77" s="43">
        <v>3.9912607438100002E-9</v>
      </c>
      <c r="X77" s="43">
        <v>1.7338074957300001E-9</v>
      </c>
      <c r="Y77" s="43">
        <v>2.6261335368499998E-9</v>
      </c>
      <c r="Z77" t="s">
        <v>549</v>
      </c>
    </row>
    <row r="78" spans="1:26">
      <c r="F78">
        <v>2.56</v>
      </c>
      <c r="H78">
        <v>0.9</v>
      </c>
      <c r="I78">
        <v>0.76</v>
      </c>
    </row>
    <row r="79" spans="1:26">
      <c r="A79" s="35" t="s">
        <v>227</v>
      </c>
      <c r="B79">
        <v>0.86</v>
      </c>
      <c r="D79">
        <v>1287.8599999999999</v>
      </c>
      <c r="F79">
        <v>467.04</v>
      </c>
      <c r="G79">
        <f>F79+J79</f>
        <v>529.91000000000008</v>
      </c>
      <c r="H79">
        <v>-1011.75</v>
      </c>
      <c r="I79">
        <v>2999.65</v>
      </c>
      <c r="J79" s="35">
        <f>532.445-469.575</f>
        <v>62.870000000000061</v>
      </c>
      <c r="K79" t="s">
        <v>550</v>
      </c>
      <c r="L79">
        <v>3000</v>
      </c>
      <c r="M79" s="46">
        <f>G79/10+0.5</f>
        <v>53.491000000000007</v>
      </c>
      <c r="N79">
        <f>H79</f>
        <v>-1011.75</v>
      </c>
      <c r="O79">
        <f>D79</f>
        <v>1287.8599999999999</v>
      </c>
      <c r="P79">
        <f>I79</f>
        <v>2999.65</v>
      </c>
      <c r="Q79">
        <f>F80/10</f>
        <v>0.13999999999999999</v>
      </c>
      <c r="R79">
        <f>H80</f>
        <v>0.41</v>
      </c>
      <c r="S79">
        <v>0</v>
      </c>
      <c r="T79">
        <f>I80</f>
        <v>1.29</v>
      </c>
      <c r="V79" s="43">
        <v>6.8608812281000001E-10</v>
      </c>
      <c r="W79" s="43">
        <v>8.6114234359599997E-10</v>
      </c>
      <c r="X79" s="43">
        <v>2.9608442358599998E-10</v>
      </c>
      <c r="Y79" s="43">
        <v>7.5203050660100002E-10</v>
      </c>
    </row>
    <row r="80" spans="1:26">
      <c r="F80">
        <v>1.4</v>
      </c>
      <c r="H80">
        <v>0.41</v>
      </c>
      <c r="I80">
        <v>1.29</v>
      </c>
    </row>
    <row r="81" spans="1:26">
      <c r="A81" s="35" t="s">
        <v>58</v>
      </c>
      <c r="B81">
        <v>0.83799999999999997</v>
      </c>
      <c r="D81">
        <v>1191.53</v>
      </c>
      <c r="F81">
        <v>682.75</v>
      </c>
      <c r="G81">
        <f>F81+J81</f>
        <v>752.59400000000005</v>
      </c>
      <c r="H81">
        <v>-984.86</v>
      </c>
      <c r="I81">
        <v>2999.88</v>
      </c>
      <c r="J81" s="35">
        <f>751.46-681.616</f>
        <v>69.844000000000051</v>
      </c>
      <c r="K81" t="s">
        <v>169</v>
      </c>
      <c r="L81">
        <v>3000</v>
      </c>
      <c r="M81">
        <f>G81/10</f>
        <v>75.259399999999999</v>
      </c>
      <c r="N81">
        <f>H81</f>
        <v>-984.86</v>
      </c>
      <c r="O81">
        <f>D81</f>
        <v>1191.53</v>
      </c>
      <c r="P81">
        <f>I81</f>
        <v>2999.88</v>
      </c>
      <c r="Q81">
        <f>F82/10</f>
        <v>0.24500000000000002</v>
      </c>
      <c r="R81">
        <f>H82</f>
        <v>0.72</v>
      </c>
      <c r="S81">
        <v>0</v>
      </c>
      <c r="T81">
        <f>I82</f>
        <v>0.51</v>
      </c>
      <c r="V81" s="43">
        <v>1.5879053078199999E-10</v>
      </c>
      <c r="W81" s="43">
        <v>1.47861951239E-10</v>
      </c>
      <c r="X81" s="43">
        <v>2.2483667681099999E-10</v>
      </c>
      <c r="Y81" s="43">
        <v>4.9251033227000002E-10</v>
      </c>
      <c r="Z81" t="s">
        <v>551</v>
      </c>
    </row>
    <row r="82" spans="1:26">
      <c r="F82">
        <v>2.4500000000000002</v>
      </c>
      <c r="H82">
        <v>0.72</v>
      </c>
      <c r="I82">
        <v>0.51</v>
      </c>
    </row>
    <row r="83" spans="1:26">
      <c r="A83" s="35" t="s">
        <v>54</v>
      </c>
      <c r="B83">
        <v>0.81599999999999995</v>
      </c>
      <c r="D83">
        <v>1100.1300000000001</v>
      </c>
      <c r="F83">
        <v>997.36</v>
      </c>
      <c r="G83">
        <f>F83+J83</f>
        <v>1070.212</v>
      </c>
      <c r="H83">
        <v>-944.72</v>
      </c>
      <c r="I83">
        <v>3000.04</v>
      </c>
      <c r="J83" s="35">
        <f>1051.43-978.578</f>
        <v>72.852000000000089</v>
      </c>
      <c r="K83" t="s">
        <v>169</v>
      </c>
      <c r="L83">
        <v>3000</v>
      </c>
      <c r="M83">
        <f>G83/10</f>
        <v>107.02119999999999</v>
      </c>
      <c r="N83">
        <f>H83</f>
        <v>-944.72</v>
      </c>
      <c r="O83">
        <f>D83</f>
        <v>1100.1300000000001</v>
      </c>
      <c r="P83">
        <f>I83</f>
        <v>3000.04</v>
      </c>
      <c r="Q83">
        <f>F84/10</f>
        <v>0.316</v>
      </c>
      <c r="R83">
        <f>H84</f>
        <v>0.61</v>
      </c>
      <c r="S83">
        <v>0</v>
      </c>
      <c r="T83">
        <f>I84</f>
        <v>0.34</v>
      </c>
      <c r="V83" s="43">
        <v>5.5657919965599999E-10</v>
      </c>
      <c r="W83" s="43">
        <v>3.01100648344E-10</v>
      </c>
      <c r="X83" s="43">
        <v>3.3869163929099999E-10</v>
      </c>
      <c r="Y83" s="43">
        <v>4.3312428812600002E-10</v>
      </c>
    </row>
    <row r="84" spans="1:26">
      <c r="F84">
        <v>3.16</v>
      </c>
      <c r="H84">
        <v>0.61</v>
      </c>
      <c r="I84">
        <v>0.34</v>
      </c>
    </row>
    <row r="85" spans="1:26">
      <c r="A85" s="35" t="s">
        <v>56</v>
      </c>
      <c r="B85">
        <v>0.79500000000000004</v>
      </c>
      <c r="D85">
        <v>1017.36</v>
      </c>
      <c r="F85">
        <v>1413</v>
      </c>
      <c r="G85">
        <f>F85+J85</f>
        <v>1486.6699999999998</v>
      </c>
      <c r="H85">
        <v>-894.16</v>
      </c>
      <c r="I85">
        <v>3000.52</v>
      </c>
      <c r="J85" s="35">
        <f t="array" ref="J85">1480.07-1406.4</f>
        <v>73.669999999999845</v>
      </c>
      <c r="K85" t="s">
        <v>552</v>
      </c>
      <c r="L85">
        <v>3000</v>
      </c>
      <c r="M85">
        <f>G85/10</f>
        <v>148.66699999999997</v>
      </c>
      <c r="N85">
        <f>H85</f>
        <v>-894.16</v>
      </c>
      <c r="O85">
        <f>D85</f>
        <v>1017.36</v>
      </c>
      <c r="P85">
        <f>I85</f>
        <v>3000.52</v>
      </c>
      <c r="Q85">
        <f>F86/10</f>
        <v>0.307</v>
      </c>
      <c r="R85">
        <f>H86</f>
        <v>0.4</v>
      </c>
      <c r="S85">
        <v>0</v>
      </c>
      <c r="T85">
        <f>I86</f>
        <v>0.67</v>
      </c>
      <c r="V85" s="43">
        <v>1.1169182069000001E-10</v>
      </c>
      <c r="W85" s="43">
        <v>1.21285110629E-9</v>
      </c>
      <c r="X85" s="43">
        <v>1.50363793779E-10</v>
      </c>
      <c r="Y85" s="43">
        <v>1.29583736734E-10</v>
      </c>
    </row>
    <row r="86" spans="1:26">
      <c r="F86">
        <v>3.07</v>
      </c>
      <c r="H86">
        <v>0.4</v>
      </c>
      <c r="I86">
        <v>0.67</v>
      </c>
    </row>
    <row r="87" spans="1:26">
      <c r="A87" s="7" t="s">
        <v>163</v>
      </c>
      <c r="B87">
        <v>0.88500000000000001</v>
      </c>
      <c r="D87">
        <v>1403.47</v>
      </c>
      <c r="F87" s="25">
        <v>297.91000000000003</v>
      </c>
      <c r="G87">
        <f>F87+J87</f>
        <v>357.19900000000001</v>
      </c>
      <c r="H87" s="25">
        <v>-1029.02</v>
      </c>
      <c r="I87" s="25">
        <v>2999.76</v>
      </c>
      <c r="J87" s="35">
        <f>343.359-284.07</f>
        <v>59.288999999999987</v>
      </c>
      <c r="K87" s="66" t="s">
        <v>553</v>
      </c>
      <c r="L87">
        <v>3000</v>
      </c>
      <c r="M87">
        <f>G87/10</f>
        <v>35.719900000000003</v>
      </c>
      <c r="N87">
        <f>H87</f>
        <v>-1029.02</v>
      </c>
      <c r="O87">
        <f>D87</f>
        <v>1403.47</v>
      </c>
      <c r="P87">
        <f>I87</f>
        <v>2999.76</v>
      </c>
      <c r="Q87">
        <f>F88/10</f>
        <v>0.46900000000000003</v>
      </c>
      <c r="R87">
        <f>H88</f>
        <v>0.8</v>
      </c>
      <c r="S87">
        <v>0</v>
      </c>
      <c r="T87">
        <f>I88</f>
        <v>1.19</v>
      </c>
      <c r="U87" s="21">
        <v>6.56874</v>
      </c>
      <c r="V87" s="43">
        <v>1.5033406749499999E-9</v>
      </c>
      <c r="W87" s="43">
        <v>1.72092982062E-9</v>
      </c>
      <c r="X87" s="43">
        <v>1.1206968557900001E-9</v>
      </c>
      <c r="Y87" s="43">
        <v>1.5757668237700001E-9</v>
      </c>
      <c r="Z87" t="s">
        <v>549</v>
      </c>
    </row>
    <row r="88" spans="1:26">
      <c r="F88" s="25">
        <v>4.6900000000000004</v>
      </c>
      <c r="H88" s="25">
        <v>0.8</v>
      </c>
      <c r="I88" s="25">
        <v>1.19</v>
      </c>
      <c r="L88" s="46">
        <v>3000</v>
      </c>
      <c r="M88" s="46">
        <v>0</v>
      </c>
      <c r="N88" s="46">
        <v>0</v>
      </c>
      <c r="O88" s="46">
        <f>2365</f>
        <v>2365</v>
      </c>
      <c r="P88" s="46">
        <v>3000</v>
      </c>
      <c r="Q88" s="46">
        <v>0</v>
      </c>
      <c r="R88" s="46">
        <v>0</v>
      </c>
      <c r="S88" s="46">
        <v>0</v>
      </c>
      <c r="T88" s="46">
        <v>0</v>
      </c>
      <c r="U88" s="21">
        <v>6.0413800000000002</v>
      </c>
      <c r="V88" s="43">
        <v>1.36110706242E-9</v>
      </c>
      <c r="W88" s="43">
        <v>2.6072596129900002E-10</v>
      </c>
      <c r="X88" s="43">
        <v>1.09031387397E-9</v>
      </c>
      <c r="Y88" s="43">
        <v>1.6888222596499999E-9</v>
      </c>
      <c r="Z88" t="s">
        <v>549</v>
      </c>
    </row>
    <row r="89" spans="1:26">
      <c r="A89" s="46" t="s">
        <v>100</v>
      </c>
      <c r="L89" s="46">
        <v>4000</v>
      </c>
      <c r="M89" s="46">
        <v>0</v>
      </c>
      <c r="N89" s="46">
        <v>0</v>
      </c>
      <c r="O89" s="46">
        <f>2642-3-35-25</f>
        <v>2579</v>
      </c>
      <c r="P89" s="46">
        <v>4000</v>
      </c>
      <c r="Q89" s="46">
        <v>0</v>
      </c>
      <c r="R89" s="46">
        <v>0</v>
      </c>
      <c r="S89" s="46">
        <v>0</v>
      </c>
      <c r="T89" s="46">
        <v>0</v>
      </c>
    </row>
    <row r="90" spans="1:26">
      <c r="A90" s="35" t="s">
        <v>554</v>
      </c>
      <c r="B90" t="s">
        <v>529</v>
      </c>
      <c r="D90">
        <v>2694.96</v>
      </c>
      <c r="F90">
        <v>-28.95</v>
      </c>
      <c r="G90">
        <f>F90+J90</f>
        <v>3.7546999999999962</v>
      </c>
      <c r="H90">
        <v>-991.72</v>
      </c>
      <c r="I90">
        <v>4001.52</v>
      </c>
      <c r="J90" s="35">
        <f>0.248--32.4567</f>
        <v>32.704699999999995</v>
      </c>
      <c r="K90" t="s">
        <v>546</v>
      </c>
      <c r="M90" s="46"/>
      <c r="V90" s="43">
        <v>2.8060776352199999E-8</v>
      </c>
      <c r="W90" s="43">
        <v>7.6707716732399998E-8</v>
      </c>
      <c r="X90" s="43">
        <v>1.34364557031E-8</v>
      </c>
      <c r="Y90" s="43">
        <v>1.7675304012600001E-8</v>
      </c>
    </row>
    <row r="91" spans="1:26">
      <c r="F91">
        <v>0.6</v>
      </c>
      <c r="H91">
        <v>1.6</v>
      </c>
      <c r="I91">
        <v>4.2699999999999996</v>
      </c>
    </row>
    <row r="92" spans="1:26">
      <c r="A92" s="35" t="s">
        <v>193</v>
      </c>
      <c r="B92" t="s">
        <v>531</v>
      </c>
      <c r="D92">
        <v>2024.76</v>
      </c>
      <c r="F92">
        <v>23.62</v>
      </c>
      <c r="G92">
        <f>F92+J92</f>
        <v>67.416600000000003</v>
      </c>
      <c r="H92">
        <v>-1010.51</v>
      </c>
      <c r="I92">
        <v>4000.03</v>
      </c>
      <c r="J92" s="35">
        <f>57.1588-13.3622</f>
        <v>43.796599999999998</v>
      </c>
      <c r="K92" t="s">
        <v>522</v>
      </c>
      <c r="L92">
        <v>4000</v>
      </c>
      <c r="M92">
        <f>G92/10</f>
        <v>6.7416600000000004</v>
      </c>
      <c r="N92">
        <f>H92</f>
        <v>-1010.51</v>
      </c>
      <c r="O92">
        <f>D92</f>
        <v>2024.76</v>
      </c>
      <c r="P92">
        <f>I92</f>
        <v>4000.03</v>
      </c>
      <c r="Q92">
        <f>F93/10</f>
        <v>3.4999999999999996E-2</v>
      </c>
      <c r="R92">
        <f>H93</f>
        <v>1.94</v>
      </c>
      <c r="S92">
        <v>0</v>
      </c>
      <c r="T92">
        <f>I93</f>
        <v>0.84</v>
      </c>
      <c r="V92" s="43">
        <v>1.7028917099799999E-8</v>
      </c>
      <c r="W92" s="43">
        <v>1.8094827956200001E-8</v>
      </c>
      <c r="X92" s="43">
        <v>1.15889334283E-8</v>
      </c>
      <c r="Y92" s="43">
        <v>1.2061680315300001E-8</v>
      </c>
    </row>
    <row r="93" spans="1:26">
      <c r="F93">
        <v>0.35</v>
      </c>
      <c r="H93">
        <v>1.94</v>
      </c>
      <c r="I93">
        <v>0.84</v>
      </c>
    </row>
    <row r="94" spans="1:26">
      <c r="A94" s="35" t="s">
        <v>196</v>
      </c>
      <c r="B94" t="s">
        <v>533</v>
      </c>
      <c r="D94">
        <v>1791.38</v>
      </c>
      <c r="F94">
        <v>92.49</v>
      </c>
      <c r="G94">
        <f>F94+J94</f>
        <v>139.53289999999998</v>
      </c>
      <c r="H94">
        <v>-1012.35</v>
      </c>
      <c r="I94">
        <v>4000.21</v>
      </c>
      <c r="J94" s="35">
        <f>138.363-91.3201</f>
        <v>47.042900000000003</v>
      </c>
      <c r="K94" t="s">
        <v>555</v>
      </c>
      <c r="L94">
        <v>4000</v>
      </c>
      <c r="M94">
        <f>G94/10</f>
        <v>13.953289999999999</v>
      </c>
      <c r="N94">
        <f>H94</f>
        <v>-1012.35</v>
      </c>
      <c r="O94">
        <f>D94</f>
        <v>1791.38</v>
      </c>
      <c r="P94">
        <f>I94</f>
        <v>4000.21</v>
      </c>
      <c r="Q94">
        <f>F95/10</f>
        <v>0.14599999999999999</v>
      </c>
      <c r="R94">
        <f>H95</f>
        <v>0.88</v>
      </c>
      <c r="S94">
        <v>0</v>
      </c>
      <c r="T94">
        <f>I95</f>
        <v>1.56</v>
      </c>
      <c r="V94" s="43">
        <v>9.4990183773699999E-9</v>
      </c>
      <c r="W94" s="43">
        <v>1.3516025478499999E-8</v>
      </c>
      <c r="X94" s="43">
        <v>7.2464838799500001E-9</v>
      </c>
      <c r="Y94" s="43">
        <v>1.03184862267E-8</v>
      </c>
    </row>
    <row r="95" spans="1:26">
      <c r="F95">
        <v>1.46</v>
      </c>
      <c r="H95">
        <v>0.88</v>
      </c>
      <c r="I95">
        <v>1.56</v>
      </c>
    </row>
    <row r="96" spans="1:26">
      <c r="A96" s="7" t="s">
        <v>199</v>
      </c>
      <c r="B96" t="s">
        <v>534</v>
      </c>
      <c r="D96">
        <v>1525.8</v>
      </c>
      <c r="F96">
        <v>239.8</v>
      </c>
      <c r="G96">
        <f>F96+J96</f>
        <v>296.10000000000002</v>
      </c>
      <c r="H96">
        <v>-1001.4</v>
      </c>
      <c r="I96">
        <v>4001.06</v>
      </c>
      <c r="J96" s="35">
        <f>309.362-253.062</f>
        <v>56.300000000000011</v>
      </c>
      <c r="K96" t="s">
        <v>556</v>
      </c>
      <c r="L96">
        <v>4000</v>
      </c>
      <c r="M96">
        <f>G96/10</f>
        <v>29.610000000000003</v>
      </c>
      <c r="N96">
        <f>H96</f>
        <v>-1001.4</v>
      </c>
      <c r="O96">
        <f>D96</f>
        <v>1525.8</v>
      </c>
      <c r="P96">
        <f>I96</f>
        <v>4001.06</v>
      </c>
      <c r="Q96">
        <f>F97/10</f>
        <v>0.189</v>
      </c>
      <c r="R96">
        <f>H97</f>
        <v>1.31</v>
      </c>
      <c r="S96">
        <v>0</v>
      </c>
      <c r="T96">
        <f>I97</f>
        <v>1.03</v>
      </c>
      <c r="V96" s="43">
        <v>7.3956940208799997E-9</v>
      </c>
      <c r="W96" s="43">
        <v>4.8527763543800003E-9</v>
      </c>
      <c r="X96" s="43">
        <v>4.0740194842899999E-9</v>
      </c>
      <c r="Y96" s="43">
        <v>6.5459023388600003E-9</v>
      </c>
    </row>
    <row r="97" spans="1:26">
      <c r="F97">
        <v>1.89</v>
      </c>
      <c r="H97">
        <v>1.31</v>
      </c>
      <c r="I97">
        <v>1.03</v>
      </c>
    </row>
    <row r="98" spans="1:26">
      <c r="A98" s="35" t="s">
        <v>203</v>
      </c>
      <c r="B98" t="s">
        <v>535</v>
      </c>
      <c r="D98">
        <v>1287.8599999999999</v>
      </c>
      <c r="F98">
        <v>551.85</v>
      </c>
      <c r="G98">
        <f>F98+J98</f>
        <v>616.12900000000002</v>
      </c>
      <c r="H98">
        <v>-971.79</v>
      </c>
      <c r="I98">
        <v>3999.81</v>
      </c>
      <c r="J98" s="35">
        <f>610.171-545.892</f>
        <v>64.278999999999996</v>
      </c>
      <c r="K98" t="s">
        <v>169</v>
      </c>
      <c r="L98">
        <v>4000</v>
      </c>
      <c r="M98">
        <f>G98/10</f>
        <v>61.612900000000003</v>
      </c>
      <c r="N98">
        <f>H98</f>
        <v>-971.79</v>
      </c>
      <c r="O98">
        <f>D98</f>
        <v>1287.8599999999999</v>
      </c>
      <c r="P98">
        <f>I98</f>
        <v>3999.81</v>
      </c>
      <c r="Q98">
        <f>F99/10</f>
        <v>0.34100000000000003</v>
      </c>
      <c r="R98">
        <f>H99</f>
        <v>0.74</v>
      </c>
      <c r="S98">
        <v>0</v>
      </c>
      <c r="T98">
        <f>I99</f>
        <v>1.82</v>
      </c>
      <c r="V98" s="43">
        <v>3.8237803169199996E-9</v>
      </c>
      <c r="W98" s="43">
        <v>1.70470753123E-8</v>
      </c>
      <c r="X98" s="43">
        <v>2.70395125842E-9</v>
      </c>
      <c r="Y98" s="43">
        <v>2.8111778994199999E-9</v>
      </c>
    </row>
    <row r="99" spans="1:26">
      <c r="F99">
        <v>3.41</v>
      </c>
      <c r="H99">
        <v>0.74</v>
      </c>
      <c r="I99">
        <v>1.82</v>
      </c>
    </row>
    <row r="100" spans="1:26">
      <c r="A100" s="35" t="s">
        <v>207</v>
      </c>
      <c r="B100" t="s">
        <v>536</v>
      </c>
      <c r="D100">
        <v>1191.53</v>
      </c>
      <c r="F100">
        <v>773.73</v>
      </c>
      <c r="G100">
        <f>F100+J100</f>
        <v>842.58199999999999</v>
      </c>
      <c r="H100">
        <v>-951.52</v>
      </c>
      <c r="I100">
        <v>4000</v>
      </c>
      <c r="J100" s="35">
        <f t="array" ref="J100">856.437-787.585</f>
        <v>68.851999999999975</v>
      </c>
      <c r="K100" t="s">
        <v>525</v>
      </c>
      <c r="L100">
        <v>4000</v>
      </c>
      <c r="M100">
        <f>G100/10</f>
        <v>84.258200000000002</v>
      </c>
      <c r="N100">
        <f>H100</f>
        <v>-951.52</v>
      </c>
      <c r="O100">
        <f>D100</f>
        <v>1191.53</v>
      </c>
      <c r="P100">
        <f>I100</f>
        <v>4000</v>
      </c>
      <c r="Q100">
        <f>F101/10</f>
        <v>0.13</v>
      </c>
      <c r="R100">
        <f>H101</f>
        <v>1.8</v>
      </c>
      <c r="S100">
        <v>0</v>
      </c>
      <c r="T100">
        <f>I101</f>
        <v>1.25</v>
      </c>
      <c r="V100" s="43">
        <v>1.74782458373E-9</v>
      </c>
      <c r="W100" s="43">
        <v>6.7627331419999999E-10</v>
      </c>
      <c r="X100" s="43">
        <v>1.0098602376100001E-9</v>
      </c>
      <c r="Y100" s="43">
        <v>1.7424230516599999E-9</v>
      </c>
      <c r="Z100" t="s">
        <v>42</v>
      </c>
    </row>
    <row r="101" spans="1:26">
      <c r="F101">
        <v>1.3</v>
      </c>
      <c r="H101">
        <v>1.8</v>
      </c>
      <c r="I101">
        <v>1.25</v>
      </c>
    </row>
    <row r="102" spans="1:26">
      <c r="A102" s="35" t="s">
        <v>210</v>
      </c>
      <c r="B102" t="s">
        <v>537</v>
      </c>
      <c r="D102">
        <v>1100.1300000000001</v>
      </c>
      <c r="F102">
        <v>1087.72</v>
      </c>
      <c r="G102">
        <f>F102+J102</f>
        <v>1160.3500000000001</v>
      </c>
      <c r="H102">
        <v>-913.82</v>
      </c>
      <c r="I102">
        <v>3999.6</v>
      </c>
      <c r="J102" s="35">
        <f>1162.64-1090.01</f>
        <v>72.630000000000109</v>
      </c>
      <c r="K102" t="s">
        <v>169</v>
      </c>
      <c r="L102">
        <v>4000</v>
      </c>
      <c r="M102">
        <f>G102/10</f>
        <v>116.03500000000001</v>
      </c>
      <c r="N102">
        <f>H102</f>
        <v>-913.82</v>
      </c>
      <c r="O102">
        <f>D102</f>
        <v>1100.1300000000001</v>
      </c>
      <c r="P102">
        <f>I102</f>
        <v>3999.6</v>
      </c>
      <c r="Q102">
        <f>F103/10</f>
        <v>0.21299999999999999</v>
      </c>
      <c r="R102">
        <f>H103</f>
        <v>1.1499999999999999</v>
      </c>
      <c r="S102">
        <v>0</v>
      </c>
      <c r="T102">
        <f>I103</f>
        <v>0.25</v>
      </c>
      <c r="V102" s="43">
        <v>5.6722544113500003E-10</v>
      </c>
      <c r="W102" s="43">
        <v>3.1997722617199998E-9</v>
      </c>
      <c r="X102" s="43">
        <v>8.3485830166199995E-10</v>
      </c>
      <c r="Y102" s="43">
        <v>1.1478024008900001E-9</v>
      </c>
    </row>
    <row r="103" spans="1:26">
      <c r="F103">
        <v>2.13</v>
      </c>
      <c r="H103">
        <v>1.1499999999999999</v>
      </c>
      <c r="I103">
        <v>0.25</v>
      </c>
    </row>
    <row r="104" spans="1:26">
      <c r="A104" s="35" t="s">
        <v>213</v>
      </c>
      <c r="B104" t="s">
        <v>539</v>
      </c>
      <c r="D104">
        <v>1017.36</v>
      </c>
      <c r="F104">
        <v>1491.69</v>
      </c>
      <c r="G104">
        <f>F104+J104</f>
        <v>1565.24</v>
      </c>
      <c r="H104">
        <v>-866.43</v>
      </c>
      <c r="I104">
        <v>4000.98</v>
      </c>
      <c r="J104" s="35">
        <f t="array" ref="J104">1577.55-1504</f>
        <v>73.549999999999955</v>
      </c>
      <c r="K104" t="s">
        <v>169</v>
      </c>
      <c r="L104">
        <v>4000</v>
      </c>
      <c r="M104">
        <f>G104/10</f>
        <v>156.524</v>
      </c>
      <c r="N104">
        <f>H104</f>
        <v>-866.43</v>
      </c>
      <c r="O104">
        <f>D104</f>
        <v>1017.36</v>
      </c>
      <c r="P104">
        <f>I104</f>
        <v>4000.98</v>
      </c>
      <c r="Q104">
        <f>F105/10</f>
        <v>0.26400000000000001</v>
      </c>
      <c r="R104">
        <f>H105</f>
        <v>0.5</v>
      </c>
      <c r="S104">
        <v>0</v>
      </c>
      <c r="T104">
        <f>I105</f>
        <v>1.73</v>
      </c>
      <c r="V104" s="43">
        <v>1.8640304013099999E-10</v>
      </c>
      <c r="W104" s="43">
        <v>2.3476789186200002E-9</v>
      </c>
      <c r="X104" s="43">
        <v>1.68052520614E-10</v>
      </c>
      <c r="Y104" s="43">
        <v>2.7979680243500002E-10</v>
      </c>
      <c r="Z104" t="s">
        <v>42</v>
      </c>
    </row>
    <row r="105" spans="1:26">
      <c r="F105">
        <v>2.64</v>
      </c>
      <c r="G105" t="s">
        <v>1</v>
      </c>
      <c r="H105">
        <v>0.5</v>
      </c>
      <c r="I105">
        <v>1.73</v>
      </c>
      <c r="L105" s="46"/>
      <c r="M105" s="46"/>
      <c r="N105" s="46"/>
      <c r="O105" s="46"/>
      <c r="P105" s="46"/>
      <c r="Q105" s="46"/>
      <c r="R105" s="46"/>
      <c r="S105" s="46"/>
      <c r="T105" s="46"/>
    </row>
    <row r="106" spans="1:26">
      <c r="A106" t="s">
        <v>557</v>
      </c>
      <c r="B106" t="s">
        <v>558</v>
      </c>
    </row>
    <row r="107" spans="1:26">
      <c r="B107" t="s">
        <v>559</v>
      </c>
    </row>
    <row r="108" spans="1:26">
      <c r="A108" t="s">
        <v>560</v>
      </c>
    </row>
    <row r="109" spans="1:26">
      <c r="A109" t="s">
        <v>561</v>
      </c>
    </row>
    <row r="111" spans="1:26">
      <c r="A111" s="66" t="s">
        <v>44</v>
      </c>
      <c r="C111">
        <v>1.93</v>
      </c>
      <c r="D111" s="21">
        <v>2024.76</v>
      </c>
      <c r="F111" s="25">
        <v>-3.71</v>
      </c>
      <c r="G111">
        <f>F111+J111</f>
        <v>38.578650000000003</v>
      </c>
      <c r="H111" s="25">
        <v>-1073.52</v>
      </c>
      <c r="I111" s="25">
        <v>2499.83</v>
      </c>
      <c r="J111">
        <f>47.753-5.46435</f>
        <v>42.288650000000004</v>
      </c>
      <c r="L111">
        <v>2500</v>
      </c>
      <c r="M111">
        <f>G111/10</f>
        <v>3.8578650000000003</v>
      </c>
      <c r="N111">
        <f>H111</f>
        <v>-1073.52</v>
      </c>
      <c r="O111">
        <f>D111</f>
        <v>2024.76</v>
      </c>
      <c r="P111">
        <f>I111</f>
        <v>2499.83</v>
      </c>
      <c r="Q111">
        <f>F112/10</f>
        <v>0.19500000000000001</v>
      </c>
      <c r="R111">
        <f>H112</f>
        <v>0.42</v>
      </c>
      <c r="S111">
        <v>0</v>
      </c>
      <c r="T111">
        <f>I112</f>
        <v>0.65</v>
      </c>
    </row>
    <row r="112" spans="1:26">
      <c r="F112" s="25">
        <v>1.95</v>
      </c>
      <c r="H112" s="25">
        <v>0.42</v>
      </c>
      <c r="I112" s="25">
        <v>0.65</v>
      </c>
    </row>
    <row r="113" spans="1:20">
      <c r="A113" s="66" t="s">
        <v>46</v>
      </c>
      <c r="D113" s="21">
        <v>1791.38</v>
      </c>
      <c r="F113" s="25">
        <v>50.28</v>
      </c>
      <c r="G113">
        <f>F113+J113</f>
        <v>103.06049999999999</v>
      </c>
      <c r="H113" s="25">
        <v>-1068.02</v>
      </c>
      <c r="I113" s="25">
        <v>2500.58</v>
      </c>
      <c r="J113">
        <f>96.6415-43.861</f>
        <v>52.780499999999996</v>
      </c>
      <c r="K113" t="s">
        <v>562</v>
      </c>
      <c r="L113">
        <v>2500</v>
      </c>
      <c r="M113" s="46">
        <f>G113/10-F114/10</f>
        <v>10.159049999999999</v>
      </c>
      <c r="N113">
        <f>H113</f>
        <v>-1068.02</v>
      </c>
      <c r="O113">
        <f>D113</f>
        <v>1791.38</v>
      </c>
      <c r="P113">
        <f>I113</f>
        <v>2500.58</v>
      </c>
      <c r="Q113">
        <f>F114/10</f>
        <v>0.14699999999999999</v>
      </c>
      <c r="R113">
        <f>H114</f>
        <v>1.52</v>
      </c>
      <c r="S113">
        <v>0</v>
      </c>
      <c r="T113">
        <f>I114</f>
        <v>0.63</v>
      </c>
    </row>
    <row r="114" spans="1:20">
      <c r="F114" s="25">
        <v>1.47</v>
      </c>
      <c r="H114" s="25">
        <v>1.52</v>
      </c>
      <c r="I114" s="25">
        <v>0.63</v>
      </c>
    </row>
    <row r="115" spans="1:20">
      <c r="A115" s="66" t="s">
        <v>48</v>
      </c>
      <c r="D115" s="21">
        <v>1525.8</v>
      </c>
      <c r="F115" s="25">
        <v>160.63</v>
      </c>
      <c r="G115">
        <f>F115+J115</f>
        <v>217.24699999999999</v>
      </c>
      <c r="H115" s="25">
        <v>-1055.19</v>
      </c>
      <c r="I115" s="25">
        <v>2499.91</v>
      </c>
      <c r="J115">
        <f>225.402-168.785</f>
        <v>56.61699999999999</v>
      </c>
      <c r="L115">
        <v>2500</v>
      </c>
      <c r="M115">
        <f>G115/10</f>
        <v>21.724699999999999</v>
      </c>
      <c r="N115">
        <f>H115</f>
        <v>-1055.19</v>
      </c>
      <c r="O115">
        <f>D115</f>
        <v>1525.8</v>
      </c>
      <c r="P115">
        <f>I115</f>
        <v>2499.91</v>
      </c>
      <c r="Q115">
        <f>F116/10</f>
        <v>0.22200000000000003</v>
      </c>
      <c r="R115">
        <f>H116</f>
        <v>0.67</v>
      </c>
      <c r="S115">
        <v>0</v>
      </c>
      <c r="T115">
        <f>I116</f>
        <v>0.96</v>
      </c>
    </row>
    <row r="116" spans="1:20">
      <c r="F116" s="25">
        <v>2.2200000000000002</v>
      </c>
      <c r="H116" s="25">
        <v>0.67</v>
      </c>
      <c r="I116" s="25">
        <v>0.96</v>
      </c>
    </row>
    <row r="117" spans="1:20">
      <c r="A117" s="66" t="s">
        <v>50</v>
      </c>
      <c r="D117" s="21">
        <v>1287.8599999999999</v>
      </c>
      <c r="F117" s="25">
        <v>426.42</v>
      </c>
      <c r="G117">
        <f>F117+J117</f>
        <v>486.65600000000006</v>
      </c>
      <c r="H117" s="25">
        <v>-1031.46</v>
      </c>
      <c r="I117" s="25">
        <v>2500.6999999999998</v>
      </c>
      <c r="J117">
        <f>484.886-424.65</f>
        <v>60.236000000000047</v>
      </c>
      <c r="L117">
        <v>2500</v>
      </c>
      <c r="M117">
        <f>G117/10</f>
        <v>48.665600000000005</v>
      </c>
      <c r="N117">
        <f>H117</f>
        <v>-1031.46</v>
      </c>
      <c r="O117">
        <f>D117</f>
        <v>1287.8599999999999</v>
      </c>
      <c r="P117">
        <f>I117</f>
        <v>2500.6999999999998</v>
      </c>
      <c r="Q117">
        <f>F118/10</f>
        <v>0.26900000000000002</v>
      </c>
      <c r="R117">
        <f>H118</f>
        <v>0.62</v>
      </c>
      <c r="S117">
        <v>0</v>
      </c>
      <c r="T117">
        <f>I118</f>
        <v>1.01</v>
      </c>
    </row>
    <row r="118" spans="1:20">
      <c r="F118" s="25">
        <v>2.69</v>
      </c>
      <c r="H118" s="25">
        <v>0.62</v>
      </c>
      <c r="I118" s="25">
        <v>1.01</v>
      </c>
    </row>
    <row r="119" spans="1:20">
      <c r="A119" s="66" t="s">
        <v>52</v>
      </c>
      <c r="C119">
        <v>61</v>
      </c>
      <c r="D119" s="21">
        <v>1191.53</v>
      </c>
      <c r="F119" s="25">
        <v>645.45000000000005</v>
      </c>
      <c r="G119">
        <f>F119+J119</f>
        <v>715.50400000000002</v>
      </c>
      <c r="H119" s="25">
        <v>-1004.13</v>
      </c>
      <c r="I119" s="25">
        <v>2500.16</v>
      </c>
      <c r="J119">
        <f>712.302-642.248</f>
        <v>70.053999999999974</v>
      </c>
    </row>
    <row r="120" spans="1:20">
      <c r="F120" s="25">
        <v>1.53</v>
      </c>
      <c r="H120" s="25">
        <v>0.23</v>
      </c>
      <c r="I120" s="25">
        <v>0.69</v>
      </c>
    </row>
    <row r="122" spans="1:20">
      <c r="A122">
        <v>2000</v>
      </c>
    </row>
    <row r="123" spans="1:20">
      <c r="A123" s="66" t="s">
        <v>178</v>
      </c>
      <c r="D123" s="21">
        <v>2024.76</v>
      </c>
      <c r="F123" s="25">
        <v>-11.44</v>
      </c>
      <c r="G123">
        <f>F123+J123</f>
        <v>32.848399999999998</v>
      </c>
      <c r="H123" s="25">
        <v>-1088.21</v>
      </c>
      <c r="I123" s="25">
        <v>1999.73</v>
      </c>
      <c r="J123">
        <f>30.4227--13.8657</f>
        <v>44.288399999999996</v>
      </c>
      <c r="L123">
        <v>2000</v>
      </c>
      <c r="M123">
        <f>G123/10</f>
        <v>3.28484</v>
      </c>
      <c r="N123">
        <f>H123</f>
        <v>-1088.21</v>
      </c>
      <c r="O123">
        <f>D123</f>
        <v>2024.76</v>
      </c>
      <c r="P123">
        <f>I123</f>
        <v>1999.73</v>
      </c>
      <c r="Q123">
        <f>F124/10</f>
        <v>6.2E-2</v>
      </c>
      <c r="R123">
        <f>H124</f>
        <v>0.37</v>
      </c>
      <c r="S123">
        <v>0</v>
      </c>
      <c r="T123">
        <f>I124</f>
        <v>0.66</v>
      </c>
    </row>
    <row r="124" spans="1:20">
      <c r="A124" s="66"/>
      <c r="F124" s="25">
        <v>0.62</v>
      </c>
      <c r="H124" s="25">
        <v>0.37</v>
      </c>
      <c r="I124" s="25">
        <v>0.66</v>
      </c>
    </row>
    <row r="125" spans="1:20">
      <c r="A125" s="66" t="s">
        <v>180</v>
      </c>
      <c r="D125" s="21">
        <v>1791.38</v>
      </c>
      <c r="F125" s="25">
        <v>47.04</v>
      </c>
      <c r="G125">
        <f>F125+J125</f>
        <v>96.836899999999986</v>
      </c>
      <c r="H125" s="25">
        <v>-1087.96</v>
      </c>
      <c r="I125" s="25">
        <v>1999.14</v>
      </c>
      <c r="J125">
        <f>95.4335-45.6366</f>
        <v>49.796899999999994</v>
      </c>
      <c r="L125">
        <v>2000</v>
      </c>
      <c r="M125">
        <f>G125/10</f>
        <v>9.6836899999999986</v>
      </c>
      <c r="N125">
        <f>H125</f>
        <v>-1087.96</v>
      </c>
      <c r="O125">
        <f>D125</f>
        <v>1791.38</v>
      </c>
      <c r="P125">
        <f>I125</f>
        <v>1999.14</v>
      </c>
      <c r="Q125">
        <f>F126/10</f>
        <v>0.13600000000000001</v>
      </c>
      <c r="R125">
        <f>H126</f>
        <v>0.21</v>
      </c>
      <c r="S125">
        <v>0</v>
      </c>
      <c r="T125">
        <f>I126</f>
        <v>0.35</v>
      </c>
    </row>
    <row r="126" spans="1:20">
      <c r="A126" s="66"/>
      <c r="F126" s="25">
        <v>1.36</v>
      </c>
      <c r="H126" s="25">
        <v>0.21</v>
      </c>
      <c r="I126" s="25">
        <v>0.35</v>
      </c>
    </row>
    <row r="127" spans="1:20">
      <c r="A127" s="66" t="s">
        <v>182</v>
      </c>
      <c r="D127" s="21">
        <v>1525.8</v>
      </c>
      <c r="F127" s="25">
        <v>135.72999999999999</v>
      </c>
      <c r="G127">
        <f>F127+J127</f>
        <v>194.55</v>
      </c>
      <c r="H127" s="25">
        <v>-1071.93</v>
      </c>
      <c r="I127" s="25">
        <v>1999.43</v>
      </c>
      <c r="J127">
        <f>201.115-142.295</f>
        <v>58.820000000000022</v>
      </c>
      <c r="L127">
        <v>2000</v>
      </c>
      <c r="M127">
        <f>G127/10</f>
        <v>19.455000000000002</v>
      </c>
      <c r="N127">
        <f>H127</f>
        <v>-1071.93</v>
      </c>
      <c r="O127">
        <f>D127</f>
        <v>1525.8</v>
      </c>
      <c r="P127">
        <f>I127</f>
        <v>1999.43</v>
      </c>
      <c r="Q127">
        <f>F128/10</f>
        <v>0.23500000000000001</v>
      </c>
      <c r="R127">
        <f>H128</f>
        <v>0.54</v>
      </c>
      <c r="S127">
        <v>0</v>
      </c>
      <c r="T127">
        <f>I128</f>
        <v>0.77</v>
      </c>
    </row>
    <row r="128" spans="1:20">
      <c r="F128" s="25">
        <v>2.35</v>
      </c>
      <c r="H128" s="25">
        <v>0.54</v>
      </c>
      <c r="I128" s="25">
        <v>0.77</v>
      </c>
    </row>
  </sheetData>
  <pageMargins left="0.75" right="0.75" top="1" bottom="1" header="0.5" footer="0.5"/>
  <pageSetup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2"/>
  <sheetViews>
    <sheetView workbookViewId="0">
      <selection activeCell="G25" sqref="G25"/>
    </sheetView>
  </sheetViews>
  <sheetFormatPr baseColWidth="10" defaultRowHeight="16"/>
  <cols>
    <col min="1" max="1" width="17.5" style="89" customWidth="1"/>
  </cols>
  <sheetData>
    <row r="1" spans="1:2">
      <c r="A1" t="s">
        <v>563</v>
      </c>
    </row>
    <row r="2" spans="1:2">
      <c r="A2" t="s">
        <v>564</v>
      </c>
      <c r="B2" t="s">
        <v>565</v>
      </c>
    </row>
    <row r="3" spans="1:2">
      <c r="A3" t="s">
        <v>566</v>
      </c>
      <c r="B3" t="s">
        <v>567</v>
      </c>
    </row>
    <row r="4" spans="1:2">
      <c r="A4" t="s">
        <v>568</v>
      </c>
      <c r="B4" t="s">
        <v>569</v>
      </c>
    </row>
    <row r="5" spans="1:2">
      <c r="A5" t="s">
        <v>570</v>
      </c>
      <c r="B5" t="s">
        <v>571</v>
      </c>
    </row>
    <row r="6" spans="1:2">
      <c r="A6" t="s">
        <v>572</v>
      </c>
      <c r="B6" t="s">
        <v>573</v>
      </c>
    </row>
    <row r="10" spans="1:2">
      <c r="A10" t="s">
        <v>574</v>
      </c>
    </row>
    <row r="11" spans="1:2">
      <c r="A11" t="s">
        <v>575</v>
      </c>
      <c r="B11" t="s">
        <v>576</v>
      </c>
    </row>
    <row r="12" spans="1:2">
      <c r="A12" t="s">
        <v>577</v>
      </c>
      <c r="B12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melt_25</vt:lpstr>
      <vt:lpstr>melt3_12p5</vt:lpstr>
      <vt:lpstr>fitted</vt:lpstr>
      <vt:lpstr>PV</vt:lpstr>
      <vt:lpstr>melt6_FeO</vt:lpstr>
      <vt:lpstr>melt7_FeO1.5</vt:lpstr>
      <vt:lpstr>geotherm</vt:lpstr>
      <vt:lpstr>melt4_6p25</vt:lpstr>
      <vt:lpstr>tools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Deng</dc:creator>
  <cp:lastModifiedBy>Microsoft Office User</cp:lastModifiedBy>
  <dcterms:created xsi:type="dcterms:W3CDTF">2018-09-24T15:24:04Z</dcterms:created>
  <dcterms:modified xsi:type="dcterms:W3CDTF">2019-10-28T14:40:55Z</dcterms:modified>
</cp:coreProperties>
</file>