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_HST_GEOS\GEOS ETOILES VARIABLES\ASTRO_GEOS ADMIN BILANS ETUDES\GEOS - ETUDES COLLECTIVES\CEPHEIDES\"/>
    </mc:Choice>
  </mc:AlternateContent>
  <xr:revisionPtr revIDLastSave="0" documentId="8_{9B4271F2-5CF9-49B0-B2BD-53AC77AA07B7}" xr6:coauthVersionLast="47" xr6:coauthVersionMax="47" xr10:uidLastSave="{00000000-0000-0000-0000-000000000000}"/>
  <bookViews>
    <workbookView xWindow="28680" yWindow="-120" windowWidth="29040" windowHeight="15840" activeTab="1" xr2:uid="{A58087D4-5D90-404A-A38E-F8AB2467AE5A}"/>
  </bookViews>
  <sheets>
    <sheet name="ToM GEOS au fil de l'eau" sheetId="1" r:id="rId1"/>
    <sheet name="GEOS ETOILES" sheetId="5" r:id="rId2"/>
    <sheet name="Biblio GEOS CEP" sheetId="2" r:id="rId3"/>
    <sheet name="SELECTION GEOS CEP DB" sheetId="7" r:id="rId4"/>
    <sheet name="ToM AUTRES" sheetId="4" r:id="rId5"/>
    <sheet name="NC 338 1982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22" i="1" l="1"/>
  <c r="F522" i="1"/>
  <c r="D523" i="1"/>
  <c r="F523" i="1"/>
  <c r="K2" i="7"/>
  <c r="L2" i="7"/>
  <c r="M2" i="7"/>
  <c r="J2" i="7"/>
  <c r="C100" i="5" a="1"/>
  <c r="C100" i="5" s="1"/>
  <c r="M5" i="2"/>
  <c r="M21" i="2"/>
  <c r="M20" i="2"/>
  <c r="M15" i="2"/>
  <c r="M18" i="2"/>
  <c r="M17" i="2"/>
  <c r="M16" i="2"/>
  <c r="M14" i="2"/>
  <c r="M12" i="2"/>
  <c r="M11" i="2"/>
  <c r="M10" i="2"/>
  <c r="M8" i="2"/>
  <c r="M7" i="2"/>
  <c r="M9" i="2"/>
  <c r="D440" i="1"/>
  <c r="F440" i="1"/>
  <c r="D320" i="1"/>
  <c r="F320" i="1"/>
  <c r="D321" i="1"/>
  <c r="F321" i="1"/>
  <c r="D129" i="1"/>
  <c r="F129" i="1"/>
  <c r="D130" i="1"/>
  <c r="F130" i="1"/>
  <c r="N2" i="7" l="1"/>
  <c r="M3" i="2"/>
  <c r="D135" i="1"/>
  <c r="F135" i="1"/>
  <c r="D136" i="1"/>
  <c r="F136" i="1"/>
  <c r="D171" i="1" l="1"/>
  <c r="F171" i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27" i="5" a="1"/>
  <c r="C27" i="5" s="1"/>
  <c r="C28" i="5" a="1"/>
  <c r="C28" i="5" s="1"/>
  <c r="C29" i="5" a="1"/>
  <c r="C29" i="5" s="1"/>
  <c r="C30" i="5" a="1"/>
  <c r="C30" i="5" s="1"/>
  <c r="C31" i="5" a="1"/>
  <c r="C31" i="5" s="1"/>
  <c r="C32" i="5" a="1"/>
  <c r="C32" i="5" s="1"/>
  <c r="C33" i="5" a="1"/>
  <c r="C33" i="5" s="1"/>
  <c r="C34" i="5" a="1"/>
  <c r="C34" i="5" s="1"/>
  <c r="C35" i="5" a="1"/>
  <c r="C35" i="5" s="1"/>
  <c r="C36" i="5" a="1"/>
  <c r="C36" i="5" s="1"/>
  <c r="C37" i="5" a="1"/>
  <c r="C37" i="5" s="1"/>
  <c r="C38" i="5" a="1"/>
  <c r="C38" i="5" s="1"/>
  <c r="C39" i="5" a="1"/>
  <c r="C39" i="5" s="1"/>
  <c r="C40" i="5" a="1"/>
  <c r="C40" i="5" s="1"/>
  <c r="C41" i="5" a="1"/>
  <c r="C41" i="5" s="1"/>
  <c r="C42" i="5" a="1"/>
  <c r="C42" i="5" s="1"/>
  <c r="C43" i="5" a="1"/>
  <c r="C43" i="5" s="1"/>
  <c r="C44" i="5" a="1"/>
  <c r="C44" i="5" s="1"/>
  <c r="C45" i="5" a="1"/>
  <c r="C45" i="5" s="1"/>
  <c r="C46" i="5" a="1"/>
  <c r="C46" i="5" s="1"/>
  <c r="C47" i="5" a="1"/>
  <c r="C47" i="5" s="1"/>
  <c r="C48" i="5" a="1"/>
  <c r="C48" i="5" s="1"/>
  <c r="C49" i="5" a="1"/>
  <c r="C49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60" i="5" a="1"/>
  <c r="C60" i="5" s="1"/>
  <c r="C61" i="5" a="1"/>
  <c r="C61" i="5" s="1"/>
  <c r="C62" i="5" a="1"/>
  <c r="C62" i="5" s="1"/>
  <c r="C63" i="5" a="1"/>
  <c r="C63" i="5" s="1"/>
  <c r="C64" i="5" a="1"/>
  <c r="C64" i="5" s="1"/>
  <c r="C65" i="5" a="1"/>
  <c r="C65" i="5" s="1"/>
  <c r="C66" i="5" a="1"/>
  <c r="C66" i="5" s="1"/>
  <c r="C67" i="5" a="1"/>
  <c r="C67" i="5" s="1"/>
  <c r="C68" i="5" a="1"/>
  <c r="C68" i="5" s="1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 s="1"/>
  <c r="C75" i="5" a="1"/>
  <c r="C75" i="5" s="1"/>
  <c r="C76" i="5" a="1"/>
  <c r="C76" i="5" s="1"/>
  <c r="C77" i="5" a="1"/>
  <c r="C77" i="5" s="1"/>
  <c r="C78" i="5" a="1"/>
  <c r="C78" i="5" s="1"/>
  <c r="C79" i="5" a="1"/>
  <c r="C79" i="5" s="1"/>
  <c r="C80" i="5" a="1"/>
  <c r="C80" i="5" s="1"/>
  <c r="C81" i="5" a="1"/>
  <c r="C81" i="5" s="1"/>
  <c r="C82" i="5" a="1"/>
  <c r="C82" i="5" s="1"/>
  <c r="C83" i="5" a="1"/>
  <c r="C83" i="5" s="1"/>
  <c r="C84" i="5" a="1"/>
  <c r="C84" i="5" s="1"/>
  <c r="C85" i="5" a="1"/>
  <c r="C85" i="5" s="1"/>
  <c r="C86" i="5" a="1"/>
  <c r="C86" i="5" s="1"/>
  <c r="C87" i="5" a="1"/>
  <c r="C87" i="5" s="1"/>
  <c r="C88" i="5" a="1"/>
  <c r="C88" i="5" s="1"/>
  <c r="C89" i="5" a="1"/>
  <c r="C89" i="5" s="1"/>
  <c r="C90" i="5" a="1"/>
  <c r="C90" i="5" s="1"/>
  <c r="C91" i="5" a="1"/>
  <c r="C91" i="5" s="1"/>
  <c r="C92" i="5" a="1"/>
  <c r="C92" i="5" s="1"/>
  <c r="C93" i="5" a="1"/>
  <c r="C93" i="5" s="1"/>
  <c r="C94" i="5" a="1"/>
  <c r="C94" i="5" s="1"/>
  <c r="C95" i="5" a="1"/>
  <c r="C95" i="5" s="1"/>
  <c r="C96" i="5" a="1"/>
  <c r="C96" i="5" s="1"/>
  <c r="C97" i="5" a="1"/>
  <c r="C97" i="5" s="1"/>
  <c r="C98" i="5" a="1"/>
  <c r="C98" i="5" s="1"/>
  <c r="C99" i="5" a="1"/>
  <c r="C99" i="5" s="1"/>
  <c r="B5" i="1"/>
  <c r="D375" i="1"/>
  <c r="F375" i="1"/>
  <c r="D121" i="1"/>
  <c r="F121" i="1"/>
  <c r="D120" i="1"/>
  <c r="F120" i="1"/>
  <c r="D404" i="1" l="1"/>
  <c r="F404" i="1"/>
  <c r="D256" i="1"/>
  <c r="F256" i="1"/>
  <c r="D258" i="1"/>
  <c r="F258" i="1"/>
  <c r="D376" i="1" l="1"/>
  <c r="F376" i="1"/>
  <c r="D377" i="1"/>
  <c r="F377" i="1"/>
  <c r="D378" i="1"/>
  <c r="F378" i="1"/>
  <c r="D379" i="1"/>
  <c r="F379" i="1"/>
  <c r="D380" i="1"/>
  <c r="F380" i="1"/>
  <c r="L42" i="5" l="1"/>
  <c r="L36" i="5"/>
  <c r="L25" i="5"/>
  <c r="D239" i="1"/>
  <c r="F239" i="1"/>
  <c r="D240" i="1"/>
  <c r="F240" i="1"/>
  <c r="D241" i="1"/>
  <c r="F241" i="1"/>
  <c r="D517" i="1"/>
  <c r="D521" i="1"/>
  <c r="F517" i="1"/>
  <c r="F521" i="1"/>
  <c r="L24" i="5" l="1"/>
  <c r="D436" i="1"/>
  <c r="F436" i="1"/>
  <c r="D437" i="1"/>
  <c r="F437" i="1"/>
  <c r="D438" i="1"/>
  <c r="F438" i="1"/>
  <c r="D435" i="1"/>
  <c r="F435" i="1"/>
  <c r="D194" i="1" l="1"/>
  <c r="F194" i="1"/>
  <c r="D196" i="1"/>
  <c r="F196" i="1"/>
  <c r="D193" i="1"/>
  <c r="F193" i="1"/>
  <c r="D191" i="1"/>
  <c r="F191" i="1"/>
  <c r="D145" i="1" l="1"/>
  <c r="F145" i="1"/>
  <c r="D146" i="1"/>
  <c r="F146" i="1"/>
  <c r="D148" i="1"/>
  <c r="F148" i="1"/>
  <c r="D339" i="1" l="1"/>
  <c r="D338" i="1"/>
  <c r="D337" i="1"/>
  <c r="F337" i="1"/>
  <c r="F338" i="1"/>
  <c r="F339" i="1"/>
  <c r="D325" i="1" l="1"/>
  <c r="F325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2" i="1"/>
  <c r="D123" i="1"/>
  <c r="D124" i="1"/>
  <c r="D125" i="1"/>
  <c r="D126" i="1"/>
  <c r="D127" i="1"/>
  <c r="D128" i="1"/>
  <c r="D131" i="1"/>
  <c r="D132" i="1"/>
  <c r="D133" i="1"/>
  <c r="D134" i="1"/>
  <c r="D137" i="1"/>
  <c r="D138" i="1"/>
  <c r="D139" i="1"/>
  <c r="D140" i="1"/>
  <c r="D141" i="1"/>
  <c r="D142" i="1"/>
  <c r="D143" i="1"/>
  <c r="D144" i="1"/>
  <c r="D147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2" i="1"/>
  <c r="D173" i="1"/>
  <c r="D174" i="1"/>
  <c r="D175" i="1"/>
  <c r="D176" i="1"/>
  <c r="D177" i="1"/>
  <c r="D178" i="1"/>
  <c r="D179" i="1"/>
  <c r="D183" i="1"/>
  <c r="D180" i="1"/>
  <c r="D181" i="1"/>
  <c r="D182" i="1"/>
  <c r="D184" i="1"/>
  <c r="D185" i="1"/>
  <c r="D186" i="1"/>
  <c r="D187" i="1"/>
  <c r="D188" i="1"/>
  <c r="D189" i="1"/>
  <c r="D190" i="1"/>
  <c r="D192" i="1"/>
  <c r="D195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7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2" i="1"/>
  <c r="D323" i="1"/>
  <c r="D324" i="1"/>
  <c r="D326" i="1"/>
  <c r="D327" i="1"/>
  <c r="D328" i="1"/>
  <c r="D329" i="1"/>
  <c r="D330" i="1"/>
  <c r="D331" i="1"/>
  <c r="D332" i="1"/>
  <c r="D333" i="1"/>
  <c r="D334" i="1"/>
  <c r="D335" i="1"/>
  <c r="D336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9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8" i="1"/>
  <c r="D519" i="1"/>
  <c r="D520" i="1"/>
  <c r="D524" i="1"/>
  <c r="D525" i="1"/>
  <c r="D526" i="1"/>
  <c r="D527" i="1"/>
  <c r="D528" i="1"/>
  <c r="D529" i="1"/>
  <c r="D530" i="1"/>
  <c r="D531" i="1"/>
  <c r="D516" i="1"/>
  <c r="E4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2" i="1"/>
  <c r="F123" i="1"/>
  <c r="F124" i="1"/>
  <c r="F125" i="1"/>
  <c r="F126" i="1"/>
  <c r="F127" i="1"/>
  <c r="F128" i="1"/>
  <c r="F131" i="1"/>
  <c r="F132" i="1"/>
  <c r="F133" i="1"/>
  <c r="F134" i="1"/>
  <c r="F137" i="1"/>
  <c r="F138" i="1"/>
  <c r="F139" i="1"/>
  <c r="F140" i="1"/>
  <c r="F141" i="1"/>
  <c r="F142" i="1"/>
  <c r="F143" i="1"/>
  <c r="F144" i="1"/>
  <c r="F147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2" i="1"/>
  <c r="F173" i="1"/>
  <c r="F174" i="1"/>
  <c r="F175" i="1"/>
  <c r="F176" i="1"/>
  <c r="F177" i="1"/>
  <c r="F178" i="1"/>
  <c r="F179" i="1"/>
  <c r="F183" i="1"/>
  <c r="F180" i="1"/>
  <c r="F181" i="1"/>
  <c r="F182" i="1"/>
  <c r="F184" i="1"/>
  <c r="F185" i="1"/>
  <c r="F186" i="1"/>
  <c r="F187" i="1"/>
  <c r="F188" i="1"/>
  <c r="F189" i="1"/>
  <c r="F190" i="1"/>
  <c r="F192" i="1"/>
  <c r="F195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7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2" i="1"/>
  <c r="F323" i="1"/>
  <c r="F324" i="1"/>
  <c r="F326" i="1"/>
  <c r="F327" i="1"/>
  <c r="F328" i="1"/>
  <c r="F329" i="1"/>
  <c r="F330" i="1"/>
  <c r="F331" i="1"/>
  <c r="F332" i="1"/>
  <c r="F333" i="1"/>
  <c r="F334" i="1"/>
  <c r="F335" i="1"/>
  <c r="F336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9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8" i="1"/>
  <c r="F519" i="1"/>
  <c r="F520" i="1"/>
  <c r="F524" i="1"/>
  <c r="F525" i="1"/>
  <c r="F526" i="1"/>
  <c r="F527" i="1"/>
  <c r="F528" i="1"/>
  <c r="F529" i="1"/>
  <c r="F530" i="1"/>
  <c r="F531" i="1"/>
  <c r="F516" i="1"/>
  <c r="F1" i="2"/>
  <c r="C2" i="2"/>
  <c r="D46" i="5" l="1"/>
  <c r="D11" i="5"/>
  <c r="D66" i="5"/>
  <c r="D22" i="5"/>
  <c r="D70" i="5"/>
  <c r="D50" i="5"/>
  <c r="D39" i="5"/>
  <c r="D41" i="5"/>
  <c r="D57" i="5"/>
  <c r="D55" i="5"/>
  <c r="D13" i="5"/>
  <c r="D29" i="5"/>
  <c r="D64" i="5"/>
  <c r="D14" i="5"/>
  <c r="D30" i="5"/>
  <c r="D65" i="5"/>
  <c r="D31" i="5"/>
  <c r="D37" i="5"/>
  <c r="D12" i="5"/>
  <c r="D20" i="5"/>
  <c r="D28" i="5"/>
  <c r="D38" i="5"/>
  <c r="D47" i="5"/>
  <c r="D54" i="5"/>
  <c r="D63" i="5"/>
  <c r="D71" i="5"/>
  <c r="D21" i="5"/>
  <c r="D72" i="5"/>
  <c r="D36" i="5"/>
  <c r="D45" i="5"/>
  <c r="D56" i="5"/>
  <c r="D15" i="5"/>
  <c r="D23" i="5"/>
  <c r="D49" i="5"/>
  <c r="D58" i="5"/>
  <c r="D17" i="5"/>
  <c r="D25" i="5"/>
  <c r="D33" i="5"/>
  <c r="D43" i="5"/>
  <c r="D51" i="5"/>
  <c r="D59" i="5"/>
  <c r="D68" i="5"/>
  <c r="D40" i="5"/>
  <c r="D32" i="5"/>
  <c r="D62" i="5"/>
  <c r="D18" i="5"/>
  <c r="D26" i="5"/>
  <c r="D34" i="5"/>
  <c r="D44" i="5"/>
  <c r="D52" i="5"/>
  <c r="D60" i="5"/>
  <c r="D69" i="5"/>
  <c r="D48" i="5"/>
  <c r="D16" i="5"/>
  <c r="D24" i="5"/>
  <c r="D42" i="5"/>
  <c r="D67" i="5"/>
  <c r="D19" i="5"/>
  <c r="D27" i="5"/>
  <c r="D35" i="5"/>
  <c r="D53" i="5"/>
  <c r="D61" i="5"/>
  <c r="E4" i="4"/>
  <c r="D9" i="5" l="1"/>
  <c r="J8" i="5" s="1"/>
  <c r="L6" i="5"/>
  <c r="L5" i="5"/>
  <c r="D8" i="5"/>
  <c r="L7" i="5"/>
  <c r="B2" i="5"/>
  <c r="B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<sst xmlns="http://schemas.openxmlformats.org/spreadsheetml/2006/main" count="7429" uniqueCount="895">
  <si>
    <t>TIMES OF MAXIMA</t>
  </si>
  <si>
    <t>©BTL - janvier/octobre 2023-2025</t>
  </si>
  <si>
    <t>GEOS PREDATABASE</t>
  </si>
  <si>
    <t>GEOS TABLE OF TIMES OF MAXIMA</t>
  </si>
  <si>
    <t>Update (format FLB)</t>
  </si>
  <si>
    <t>Nb ToM</t>
  </si>
  <si>
    <t>Const.</t>
  </si>
  <si>
    <t>N.Star</t>
  </si>
  <si>
    <t>flag 1</t>
  </si>
  <si>
    <t>Colonne2</t>
  </si>
  <si>
    <t>ToM(+2400000)</t>
  </si>
  <si>
    <t>ToM</t>
  </si>
  <si>
    <t>Err. St.</t>
  </si>
  <si>
    <t>Phot.</t>
  </si>
  <si>
    <t>Observateur</t>
  </si>
  <si>
    <t>source</t>
  </si>
  <si>
    <t>Author</t>
  </si>
  <si>
    <t xml:space="preserve">ref. publ. </t>
  </si>
  <si>
    <t>TYPE GCVS</t>
  </si>
  <si>
    <t>NOTES</t>
  </si>
  <si>
    <t>Colonne1</t>
  </si>
  <si>
    <t>And</t>
  </si>
  <si>
    <t>DQ</t>
  </si>
  <si>
    <t>NULL</t>
  </si>
  <si>
    <t>vis</t>
  </si>
  <si>
    <t>GEOS BTL (Boistel)</t>
  </si>
  <si>
    <t>GEOS</t>
  </si>
  <si>
    <t>this table</t>
  </si>
  <si>
    <t>GEOS NC 651</t>
  </si>
  <si>
    <t>Aql</t>
  </si>
  <si>
    <t>ETA</t>
  </si>
  <si>
    <t>GEOS ROL (Rolland)</t>
  </si>
  <si>
    <t>Figer 1976</t>
  </si>
  <si>
    <t>GEOS NC123A</t>
  </si>
  <si>
    <t>GEOS NC 1324 compilation n°1</t>
  </si>
  <si>
    <t>GEOS TRP (Troispoux)</t>
  </si>
  <si>
    <t>GEOS NC 126A</t>
  </si>
  <si>
    <t>GEOS ROY (Royer)</t>
  </si>
  <si>
    <t>GEOS MIS (Misson)</t>
  </si>
  <si>
    <t>Résultats observations</t>
  </si>
  <si>
    <t>Figer 1977</t>
  </si>
  <si>
    <t>GEOS NC 158</t>
  </si>
  <si>
    <t>GEOS FRL (Frangeul)</t>
  </si>
  <si>
    <t>Busquets 1981</t>
  </si>
  <si>
    <t>GEOS NC 270</t>
  </si>
  <si>
    <t>GEOS MPN (Penna)</t>
  </si>
  <si>
    <t>GEOS ALB (Albert)</t>
  </si>
  <si>
    <t>GEOS POI (Poretti)</t>
  </si>
  <si>
    <t>GEOS DDL (Dalmazio)</t>
  </si>
  <si>
    <t>Dalmazio 1998</t>
  </si>
  <si>
    <t>GEOS NC 866</t>
  </si>
  <si>
    <t>FF</t>
  </si>
  <si>
    <t>Figer 1978</t>
  </si>
  <si>
    <t>GEOS NC 181</t>
  </si>
  <si>
    <t>GEOS BUZ (Buzzoni)</t>
  </si>
  <si>
    <t>GEOS RAL (Ralincourt)</t>
  </si>
  <si>
    <t>GEOS DMT (Dumont)</t>
  </si>
  <si>
    <t>Dalmazio 1997</t>
  </si>
  <si>
    <t>GEOS NC 843</t>
  </si>
  <si>
    <t>GEOS NC 846</t>
  </si>
  <si>
    <t>GEOS NC 856</t>
  </si>
  <si>
    <t>GEOS EYR (Eyraud)</t>
  </si>
  <si>
    <t>Boistel 2023</t>
  </si>
  <si>
    <t>GEOS NC 1325</t>
  </si>
  <si>
    <t>GEOS NC 861</t>
  </si>
  <si>
    <t>FN</t>
  </si>
  <si>
    <t>GEOS FLB (LE Borgne)</t>
  </si>
  <si>
    <t>SZ</t>
  </si>
  <si>
    <t>TT</t>
  </si>
  <si>
    <t>GEOS LCN (Lucentini)</t>
  </si>
  <si>
    <t>GEOS BNN (Boninsegna)</t>
  </si>
  <si>
    <t>U</t>
  </si>
  <si>
    <t>GEOS WAB (Wabnitz)</t>
  </si>
  <si>
    <t>GEOS NC 842</t>
  </si>
  <si>
    <t>V1162</t>
  </si>
  <si>
    <t>V496</t>
  </si>
  <si>
    <t>V526</t>
  </si>
  <si>
    <t>GEOS collectif (6 obs.)</t>
  </si>
  <si>
    <t>Busquets 1983</t>
  </si>
  <si>
    <t>GEOS NC 387 (Marly 1983 - résultats d'observations)</t>
  </si>
  <si>
    <t>GEOS FGR (Figer)</t>
  </si>
  <si>
    <t>Busquets</t>
  </si>
  <si>
    <t>GEOS CEP1</t>
  </si>
  <si>
    <t>GEOS GUI (Guiraudou)</t>
  </si>
  <si>
    <t>Aur</t>
  </si>
  <si>
    <t>RT</t>
  </si>
  <si>
    <t>Busquets 1982</t>
  </si>
  <si>
    <t>GEOS NC 338</t>
  </si>
  <si>
    <t>GEOS RMS (Rémis)</t>
  </si>
  <si>
    <t>RAL (Ralincourt)</t>
  </si>
  <si>
    <t>GEOS CIRC CEP 4</t>
  </si>
  <si>
    <t>Boistel, 2023</t>
  </si>
  <si>
    <t>GEOS collectif 18 obs (ALCEP)</t>
  </si>
  <si>
    <t>Boninsegna 1982</t>
  </si>
  <si>
    <t>GEOS NC 322</t>
  </si>
  <si>
    <t>GEOS LTL (Letellier)</t>
  </si>
  <si>
    <t>GEOS FLB (Le Borgne)</t>
  </si>
  <si>
    <t>GUI (Guiraudou)</t>
  </si>
  <si>
    <t>MIS (Misson)</t>
  </si>
  <si>
    <t>GEOS pr. com.</t>
  </si>
  <si>
    <t>GEOS PMP (Pampaloni)</t>
  </si>
  <si>
    <t>GEOS FCH (Fecchucci)</t>
  </si>
  <si>
    <t>GEOS CLV (Clovin)</t>
  </si>
  <si>
    <t>GEOS NZY (Nezry)</t>
  </si>
  <si>
    <t>Gobet 1992</t>
  </si>
  <si>
    <t>GEOS NC 688</t>
  </si>
  <si>
    <t>Dalmazio 1999</t>
  </si>
  <si>
    <t>GEOS NC 883</t>
  </si>
  <si>
    <t>GEOS FICOLA</t>
  </si>
  <si>
    <t>GEOS this paper</t>
  </si>
  <si>
    <t>GEOS MLO (Marinello)</t>
  </si>
  <si>
    <t>GEOS MAM (Mammoliti)</t>
  </si>
  <si>
    <t>GEOS Collectif (16 obs.)</t>
  </si>
  <si>
    <t>Gobet 1989</t>
  </si>
  <si>
    <t>GEOS NC 590</t>
  </si>
  <si>
    <t>GEOS Coll.</t>
  </si>
  <si>
    <t>GEOS VBR (Vandenbroere)</t>
  </si>
  <si>
    <t>GEOS CBO (Colombo)</t>
  </si>
  <si>
    <t>Colombo 1990</t>
  </si>
  <si>
    <t>GEOS NC 626</t>
  </si>
  <si>
    <t>Colombo 1989</t>
  </si>
  <si>
    <t>Il est aussi dans Busquets 1982</t>
  </si>
  <si>
    <t>GEOS FND (Ferrand)</t>
  </si>
  <si>
    <t>RX</t>
  </si>
  <si>
    <t>Cam</t>
  </si>
  <si>
    <t>CK</t>
  </si>
  <si>
    <t>Gobet 2007</t>
  </si>
  <si>
    <t>GEOS NC 1079</t>
  </si>
  <si>
    <t>GEOS GBF (Gobet)</t>
  </si>
  <si>
    <t>RW</t>
  </si>
  <si>
    <t>This table</t>
  </si>
  <si>
    <t>Résultats observations 1988</t>
  </si>
  <si>
    <t>Dumont 1999</t>
  </si>
  <si>
    <t>GEOS NC 886</t>
  </si>
  <si>
    <t>calculé par BTL ; E=1032 de 42766,583 + 7,912024.E ; O-C 0,24 j</t>
  </si>
  <si>
    <t>Cas</t>
  </si>
  <si>
    <t>BD</t>
  </si>
  <si>
    <t>Résultats observations Casinos 1981 et Bedarieux 1982</t>
  </si>
  <si>
    <t>GEOS collectif (5 obs.)</t>
  </si>
  <si>
    <t>GEOS BSQ (Busquets)</t>
  </si>
  <si>
    <t>GEOS NC 1071</t>
  </si>
  <si>
    <t>GEOS NC 1347</t>
  </si>
  <si>
    <t>RY</t>
  </si>
  <si>
    <t>Résultats observations 2021</t>
  </si>
  <si>
    <t>Résultats observations 2022</t>
  </si>
  <si>
    <t>SU</t>
  </si>
  <si>
    <t>GEOS GAS (Gaspani)</t>
  </si>
  <si>
    <t>GEOS NC 129A</t>
  </si>
  <si>
    <t>GEOS NC 308</t>
  </si>
  <si>
    <t>GEOS CRR (Carradori)</t>
  </si>
  <si>
    <t>GEOS NC 851</t>
  </si>
  <si>
    <t>pe</t>
  </si>
  <si>
    <t>GEOS collectif</t>
  </si>
  <si>
    <t>Acerbi&amp;Barani</t>
  </si>
  <si>
    <t>GEOS NC 677</t>
  </si>
  <si>
    <t>TU</t>
  </si>
  <si>
    <t>WAB même époque O-C=0,01 GCVS 74</t>
  </si>
  <si>
    <t>GEOS NC 871</t>
  </si>
  <si>
    <t>V407</t>
  </si>
  <si>
    <t>Boistel 1990</t>
  </si>
  <si>
    <t>GEOS NC 607</t>
  </si>
  <si>
    <t>1989-1990</t>
  </si>
  <si>
    <t>Cep</t>
  </si>
  <si>
    <t>DELTA</t>
  </si>
  <si>
    <t>Figer 1974</t>
  </si>
  <si>
    <t>GEOS NC 42</t>
  </si>
  <si>
    <t>DCEP</t>
  </si>
  <si>
    <t>GEOS LYN (Leydon)</t>
  </si>
  <si>
    <t>IR</t>
  </si>
  <si>
    <t>Boistel 2020</t>
  </si>
  <si>
    <t>Boistel 2021</t>
  </si>
  <si>
    <t>Boistel 2022</t>
  </si>
  <si>
    <t>Cyg</t>
  </si>
  <si>
    <t>DT</t>
  </si>
  <si>
    <t>GEOS NC 349</t>
  </si>
  <si>
    <t>GEOS DNN ()</t>
  </si>
  <si>
    <t>GEOS NC 875</t>
  </si>
  <si>
    <t>GEOS FBG (Fabregat)</t>
  </si>
  <si>
    <t>GEOS MAR (Marot)</t>
  </si>
  <si>
    <t>Figer 1975</t>
  </si>
  <si>
    <t>GEOS NC118</t>
  </si>
  <si>
    <t>GEOS CAR (Carnevali)</t>
  </si>
  <si>
    <t>GEOS NC120A</t>
  </si>
  <si>
    <t>GEOS APEX collectif</t>
  </si>
  <si>
    <t>GEOS NC121A</t>
  </si>
  <si>
    <t>GEOS SQL (Squelard)</t>
  </si>
  <si>
    <t>Kuchto 1980</t>
  </si>
  <si>
    <t>GEOS NC 254</t>
  </si>
  <si>
    <t>Dalmazio 2000</t>
  </si>
  <si>
    <t>GEOS NC 921</t>
  </si>
  <si>
    <t>GEOS NC 844</t>
  </si>
  <si>
    <t>GEOS NC 854</t>
  </si>
  <si>
    <t>GEOS FDD (Fadda)</t>
  </si>
  <si>
    <t>GEOS NC 1338</t>
  </si>
  <si>
    <t>TX</t>
  </si>
  <si>
    <t>V1334</t>
  </si>
  <si>
    <t>com. Priv.</t>
  </si>
  <si>
    <t>GEOS GOM (Gomez)</t>
  </si>
  <si>
    <t>V514</t>
  </si>
  <si>
    <t>GEOS NC 1323</t>
  </si>
  <si>
    <t>GEOS CIRC CEP 1 (Busquets, 1986)</t>
  </si>
  <si>
    <t>VX</t>
  </si>
  <si>
    <t>VY</t>
  </si>
  <si>
    <t>X</t>
  </si>
  <si>
    <t>Del</t>
  </si>
  <si>
    <t>BX</t>
  </si>
  <si>
    <t>Gem</t>
  </si>
  <si>
    <t>DZETA</t>
  </si>
  <si>
    <t>GEOS KCH (Kuchto)</t>
  </si>
  <si>
    <t>GEOS NC 376</t>
  </si>
  <si>
    <t>W</t>
  </si>
  <si>
    <t>GEOS BEN (Benucci)</t>
  </si>
  <si>
    <t xml:space="preserve">Gem </t>
  </si>
  <si>
    <t>GOES BTL (Boistel)</t>
  </si>
  <si>
    <t>GEOS GUR ()</t>
  </si>
  <si>
    <t>GEOS VIA (Vialle)</t>
  </si>
  <si>
    <t>this paper</t>
  </si>
  <si>
    <t>GEOS CHC (Checcucci)</t>
  </si>
  <si>
    <t>FND observations 2021-2022</t>
  </si>
  <si>
    <t>Her</t>
  </si>
  <si>
    <t>BB</t>
  </si>
  <si>
    <t>BL</t>
  </si>
  <si>
    <t>Lac</t>
  </si>
  <si>
    <t>RR</t>
  </si>
  <si>
    <t>GEOS DCH (Dumarchi)</t>
  </si>
  <si>
    <t>Boistel  2023</t>
  </si>
  <si>
    <t>V</t>
  </si>
  <si>
    <t>GEOS NC 829</t>
  </si>
  <si>
    <t>Z</t>
  </si>
  <si>
    <t>Lyr</t>
  </si>
  <si>
    <t>CC</t>
  </si>
  <si>
    <t>V473</t>
  </si>
  <si>
    <t>Busquets&amp;Fabregat 1990</t>
  </si>
  <si>
    <t>GEOS NC 604</t>
  </si>
  <si>
    <t>GEOS collectif (7 obs.)</t>
  </si>
  <si>
    <t>GEOS NC 388</t>
  </si>
  <si>
    <t>Mon</t>
  </si>
  <si>
    <t>BE</t>
  </si>
  <si>
    <t>GEOS NC 182</t>
  </si>
  <si>
    <t>T</t>
  </si>
  <si>
    <t>3 compoistages avec O-C = 0 (GCVS 1974)</t>
  </si>
  <si>
    <t>GEOS FCH (Feccuchi)</t>
  </si>
  <si>
    <t>GEOS CUG ()</t>
  </si>
  <si>
    <t>Dumont 2005</t>
  </si>
  <si>
    <t>GEOS NC 1026</t>
  </si>
  <si>
    <t>Oph</t>
  </si>
  <si>
    <t>Y</t>
  </si>
  <si>
    <t>2 autres BEN et BUZ à calculer</t>
  </si>
  <si>
    <t>GEOS NC 835</t>
  </si>
  <si>
    <t>Ori</t>
  </si>
  <si>
    <t>GQ</t>
  </si>
  <si>
    <t>Per</t>
  </si>
  <si>
    <t>AW</t>
  </si>
  <si>
    <t>GEOS NC 1342</t>
  </si>
  <si>
    <t>SV</t>
  </si>
  <si>
    <t>Boistel</t>
  </si>
  <si>
    <t>Sge</t>
  </si>
  <si>
    <t>S</t>
  </si>
  <si>
    <t>GEOS NC 832</t>
  </si>
  <si>
    <t>Tau</t>
  </si>
  <si>
    <t>ST</t>
  </si>
  <si>
    <t>GEOS NC 150</t>
  </si>
  <si>
    <t>AUTRES MAXS A CALCULER D'APRES LES O-C</t>
  </si>
  <si>
    <t>résultats observations 1976-77</t>
  </si>
  <si>
    <t>Vialle 1997</t>
  </si>
  <si>
    <t>GEOS NC 833</t>
  </si>
  <si>
    <t>observations 1982-1983</t>
  </si>
  <si>
    <t>GEOS NC 828</t>
  </si>
  <si>
    <t>Obs. 2020-2022 : sous-estimé sans doute</t>
  </si>
  <si>
    <t>Obs. 2020-2022 : meilleur</t>
  </si>
  <si>
    <t>Obs. 2021-2022</t>
  </si>
  <si>
    <t xml:space="preserve">Tau </t>
  </si>
  <si>
    <t>Vul</t>
  </si>
  <si>
    <t>AS</t>
  </si>
  <si>
    <t>BR</t>
  </si>
  <si>
    <t>DG</t>
  </si>
  <si>
    <t>Boistel 1991</t>
  </si>
  <si>
    <t>GEOS BTL 1983</t>
  </si>
  <si>
    <t>GEOS CEP 3</t>
  </si>
  <si>
    <t>GEOS FND 1984</t>
  </si>
  <si>
    <t>GEOS BTL 1985</t>
  </si>
  <si>
    <t>GEOS BTL 1988</t>
  </si>
  <si>
    <t>GEOS VBR 1997</t>
  </si>
  <si>
    <t>GEOS DMT 1989</t>
  </si>
  <si>
    <t>GEOS DMT 1990</t>
  </si>
  <si>
    <t>GEOS DMT 1991</t>
  </si>
  <si>
    <t>GEOS DMT 1992</t>
  </si>
  <si>
    <t>GEOS DMT 1993</t>
  </si>
  <si>
    <t>GEOS DMT 1994</t>
  </si>
  <si>
    <t>GEOS DMT 1995</t>
  </si>
  <si>
    <t>GEOS DMT  1996</t>
  </si>
  <si>
    <t>GEOS DMT  1997</t>
  </si>
  <si>
    <t>GEOS DMT  1998</t>
  </si>
  <si>
    <t>GEOS DMT 1997</t>
  </si>
  <si>
    <t>GEOS DMT 1998</t>
  </si>
  <si>
    <t>GEOS DMT 1999</t>
  </si>
  <si>
    <t>GEOS DMT 2000</t>
  </si>
  <si>
    <t>GEOS DMT 2001</t>
  </si>
  <si>
    <t>GEOS DMT 2002</t>
  </si>
  <si>
    <t>GEOS DMT 2003</t>
  </si>
  <si>
    <t>GEOS DMT 2004</t>
  </si>
  <si>
    <t>GEOS DMT 2005</t>
  </si>
  <si>
    <t>GEOS DMT 2006</t>
  </si>
  <si>
    <t>GEOS DMT 2007</t>
  </si>
  <si>
    <t>GEOS DMT 2008</t>
  </si>
  <si>
    <t>GEOS DMT 2009</t>
  </si>
  <si>
    <t>GEOS KCH 2009-2011</t>
  </si>
  <si>
    <t>GEOS KCH 2010</t>
  </si>
  <si>
    <t>GEOS KCH 2011</t>
  </si>
  <si>
    <t>GEOS BTL 2020</t>
  </si>
  <si>
    <t>GEOS BTL 2021</t>
  </si>
  <si>
    <t>GEOS FND 2021</t>
  </si>
  <si>
    <t>GEOS BTL 2022</t>
  </si>
  <si>
    <t>Résultats observations ; GCVS 74 ; O-C = +3,59 j</t>
  </si>
  <si>
    <t>CEPHEIDS</t>
  </si>
  <si>
    <t>GEOS CEP</t>
  </si>
  <si>
    <t>Main GEOS bibliography on Cepheids</t>
  </si>
  <si>
    <t>Number publ.</t>
  </si>
  <si>
    <t>Update</t>
  </si>
  <si>
    <t>auteur(s)</t>
  </si>
  <si>
    <t>année</t>
  </si>
  <si>
    <t>titre de la communication</t>
  </si>
  <si>
    <t>référence</t>
  </si>
  <si>
    <t>n°NC</t>
  </si>
  <si>
    <t>SOURCE</t>
  </si>
  <si>
    <t>étoiles</t>
  </si>
  <si>
    <t>pages</t>
  </si>
  <si>
    <t>DATA source</t>
  </si>
  <si>
    <t>Other links</t>
  </si>
  <si>
    <t>Figer, A.</t>
  </si>
  <si>
    <t>Communications à la suite des bilans mensuels d'activité du groupe</t>
  </si>
  <si>
    <t>cf compilations des NC 1324 et NC 1325</t>
  </si>
  <si>
    <t>Figer , A.</t>
  </si>
  <si>
    <t>GEOS NC 118</t>
  </si>
  <si>
    <t>GEOS NC 120A</t>
  </si>
  <si>
    <t>GEOS NC 121A</t>
  </si>
  <si>
    <t>GEOS NC 123A</t>
  </si>
  <si>
    <t>Informations céphéides n°1</t>
  </si>
  <si>
    <t>SU Cas, X Cyg, V1334 Cyg, Dzeta Gem, S Sge, SZ Tau</t>
  </si>
  <si>
    <t>Informations céphéides n°2</t>
  </si>
  <si>
    <t>Eta Aql, X Cyg, Dzeta Gem, DT Cyg, V1334 Cyg, BB Her, BL Her, Y Oph, S Sge, T Vul, SV Vul</t>
  </si>
  <si>
    <t>Informations céphéides n°3</t>
  </si>
  <si>
    <t>U Aql, TT Aql, FF Aql, TU Cas, Delta Cep, X Cyg, V1334 Cyg, W Gem</t>
  </si>
  <si>
    <t>Informations céphéides n°4</t>
  </si>
  <si>
    <t xml:space="preserve">T Mon, BE Mon, Y Oph, GQ Ori, SV Per, S Sge, T Vul, U Vul, </t>
  </si>
  <si>
    <t>Wabnitz, S.</t>
  </si>
  <si>
    <t>Informations céphéides n°5. TU Cas et les "BEAT" céphéides</t>
  </si>
  <si>
    <t>GEOS NC 201</t>
  </si>
  <si>
    <t>TU Cas</t>
  </si>
  <si>
    <t>Kuchto, S.</t>
  </si>
  <si>
    <t>Informations céphéides n°6: Modèle de compositage par P. Ralincourt sur SU Cyg</t>
  </si>
  <si>
    <t>SU Cyg</t>
  </si>
  <si>
    <t>Busquets, J.</t>
  </si>
  <si>
    <t>Informations céphéides n°7</t>
  </si>
  <si>
    <t>Eta Aql, U Aql, TT Aql, FF Aql, FN Aql, V496 Aql, RT Aur, RX Aur, RX Cam</t>
  </si>
  <si>
    <t>Informations céphéides n°8</t>
  </si>
  <si>
    <t>SU Cas, TU Cas, DL Cas, Delta Cep, IR Cep, X Cyg, SU Cyg</t>
  </si>
  <si>
    <t>Boninsegna, R.</t>
  </si>
  <si>
    <t>Informations céphéides n°9. RT Aur 75-76</t>
  </si>
  <si>
    <t>RT Aur</t>
  </si>
  <si>
    <t>Informations céphéides n°10. RT Aur. Resumen de las observaciones del GEOS</t>
  </si>
  <si>
    <t>Informations céphéides n°11</t>
  </si>
  <si>
    <t>VX Cyg, VY Cyg, DT Cyg, V1334 Cyg, TX Del</t>
  </si>
  <si>
    <t>Informations céphéides n°12</t>
  </si>
  <si>
    <t>Dzeta Gem, W Gem, BL Her, V Lac, X Lac, Z Lac, RR Lac, T Mon</t>
  </si>
  <si>
    <t>Informations céphéides n°14. Resultados de las observaciones de V473 Lyr de Bédarieux 82</t>
  </si>
  <si>
    <t>V473 Lyr</t>
  </si>
  <si>
    <t>Informations céphéides n°15. Réinterprétation des mesures de EW Sct de la littérature</t>
  </si>
  <si>
    <t>GEOS NC 403</t>
  </si>
  <si>
    <t>EW Sct</t>
  </si>
  <si>
    <t>Dumont, M.</t>
  </si>
  <si>
    <t>Informations céphéides n°16. Séquence de EW Sct</t>
  </si>
  <si>
    <t>GEOS NC 434</t>
  </si>
  <si>
    <t>Gobet, F.</t>
  </si>
  <si>
    <t>RT Aur: O-C de plus en plus grand</t>
  </si>
  <si>
    <t>V473 Ly</t>
  </si>
  <si>
    <t>Boistel, G.</t>
  </si>
  <si>
    <t>Informations céphéides n°18. Prospection de céphéides faibles. BX del, V407 Cas et BR Vul</t>
  </si>
  <si>
    <t>BX Del, V407 Cas, BR Vul</t>
  </si>
  <si>
    <t>Colombo, E.</t>
  </si>
  <si>
    <t>Observations of RT Aur in 1990</t>
  </si>
  <si>
    <t>Informations céphéides n°19. Prospection de céphéides faibles</t>
  </si>
  <si>
    <t>BX Del, DQ And, V407 Cas, BR Vul, AS Vaul, DG Vul, CC Lyr</t>
  </si>
  <si>
    <t>A Propos de EW Sct (revue de presse)</t>
  </si>
  <si>
    <t>GEOS NC 654</t>
  </si>
  <si>
    <t>Frangeul, M.</t>
  </si>
  <si>
    <t>RT Aur (Tribune libre du bilan d'avril 1992)</t>
  </si>
  <si>
    <t>GEOS NC 681</t>
  </si>
  <si>
    <t>2-3</t>
  </si>
  <si>
    <t>Changements de période de RT Aur</t>
  </si>
  <si>
    <t>SZ Tau. Observations 1987/1991</t>
  </si>
  <si>
    <t>GEOS NC 703</t>
  </si>
  <si>
    <t>SZ Tau</t>
  </si>
  <si>
    <t>SU Cyg. Osservazioni visuali ACR-BAR 1991</t>
  </si>
  <si>
    <t>GEOS NC 705</t>
  </si>
  <si>
    <t>Dalmazio, D.</t>
  </si>
  <si>
    <t>Cepheids observation: SZ Tau</t>
  </si>
  <si>
    <t>Cepheids observation: X Lac</t>
  </si>
  <si>
    <t>X Lac</t>
  </si>
  <si>
    <t>Cepheids observation: S Sge</t>
  </si>
  <si>
    <t>S Sge</t>
  </si>
  <si>
    <t>Vialle, J.</t>
  </si>
  <si>
    <t>Cepheids observation: Y Oph</t>
  </si>
  <si>
    <t>Y Oph</t>
  </si>
  <si>
    <t>Cepheids observation: U Aql</t>
  </si>
  <si>
    <t>U Aql</t>
  </si>
  <si>
    <t>Cepheids observation: FF Aql</t>
  </si>
  <si>
    <t>FF Aql</t>
  </si>
  <si>
    <t>Cepheids observation: SU Cyg</t>
  </si>
  <si>
    <t>Cepheids observations</t>
  </si>
  <si>
    <t>RT Aur, TU Cas, Delta Cep, U Vul, SU Cyg, FF Aql</t>
  </si>
  <si>
    <t>Su Cas, W Gem, SU Cyg</t>
  </si>
  <si>
    <t>SV Vul, SU Cyg, SZ Tau, DG Vul</t>
  </si>
  <si>
    <t>TT Aql, FF Aql, SZ Aql</t>
  </si>
  <si>
    <t>FF Aql, SU Cyg, SU Cas</t>
  </si>
  <si>
    <t>Z Lac, RR Lac, TT Aql, Eta Aql, FF Aql, SU Cyg</t>
  </si>
  <si>
    <t>TU Cas, SU Cyg, X Cyg</t>
  </si>
  <si>
    <t>X Cyg, DT Cyg, W Gem</t>
  </si>
  <si>
    <t>W Gem, RT Aur, AW Per, X Cyg</t>
  </si>
  <si>
    <t>Cepheids observation: RX Cam</t>
  </si>
  <si>
    <t>RX Cam</t>
  </si>
  <si>
    <t>TT Aql en 1991</t>
  </si>
  <si>
    <t>GEOS NC 910</t>
  </si>
  <si>
    <t>TT Aql</t>
  </si>
  <si>
    <t>AW Per, SU Cyg, V1334 Cyg</t>
  </si>
  <si>
    <t>TT Aql en 1999 et sa carte</t>
  </si>
  <si>
    <t>GEOS NC 943</t>
  </si>
  <si>
    <t>AW Per en 1997-2002</t>
  </si>
  <si>
    <t>GEOS NC 971</t>
  </si>
  <si>
    <t>AW Per</t>
  </si>
  <si>
    <t>T Mon en 2003-2004 et 2004-2005</t>
  </si>
  <si>
    <t>T Mon</t>
  </si>
  <si>
    <t>Observation de 3 céphéides</t>
  </si>
  <si>
    <t>SU Cas, RW Cas, Delta Cep</t>
  </si>
  <si>
    <t>Periodic variation of the O-C values for the cepheid CK Cam ?</t>
  </si>
  <si>
    <t>CK Cam</t>
  </si>
  <si>
    <t>Cinq céphéides du Sagittaire</t>
  </si>
  <si>
    <t>GEOS NC 1188</t>
  </si>
  <si>
    <t>U, Y, AP, BB, V350 Sge</t>
  </si>
  <si>
    <t>T Vul</t>
  </si>
  <si>
    <t>GEOS NC 1232</t>
  </si>
  <si>
    <t>GEOS NC 1248</t>
  </si>
  <si>
    <t>SZ Aql et FN aql</t>
  </si>
  <si>
    <t>GEOS NC 1251</t>
  </si>
  <si>
    <t>SZ et FN Aql</t>
  </si>
  <si>
    <t>GEOS NC 1252</t>
  </si>
  <si>
    <t>GEOS NC 1256</t>
  </si>
  <si>
    <t>GEOS NC 1290</t>
  </si>
  <si>
    <t>Y Oph: 30 ans d'observations</t>
  </si>
  <si>
    <t>GEOS NC 1308</t>
  </si>
  <si>
    <t>Variation de la période de la céphéide classique V Lac entre 1904 et 2022. Résultats préliminaires</t>
  </si>
  <si>
    <t>GEOS NC 1318</t>
  </si>
  <si>
    <t>V Lac</t>
  </si>
  <si>
    <t>Une carte d'identification corrigée et de nouveaux O-C pour la céphéide classique V514 Cyg</t>
  </si>
  <si>
    <t>V514 Cyg</t>
  </si>
  <si>
    <t>Compilation de résultats d'observation de céphéides au GEOS n°1, 1975-1976</t>
  </si>
  <si>
    <t>GEOS NC 1324</t>
  </si>
  <si>
    <t>Compilation de résultats d'observation de céphéides au GEOS n°2, 1989-1997</t>
  </si>
  <si>
    <t>GEOS NC 1331</t>
  </si>
  <si>
    <t>O-C de quelques céphéides classiques intéressantes en 2021 et 2022 : SZ Cyg, TX Cyg, RR Lac et VX Per</t>
  </si>
  <si>
    <t>SZ Cyg, TX Cyg, RR Lac, VX Per</t>
  </si>
  <si>
    <t>O-C de la céphéide classique AW Per pour les années 2020, 2021 et 2022-2023</t>
  </si>
  <si>
    <t>Variation de la période de la céphéide classique RW Cas entre 1899 et 2023</t>
  </si>
  <si>
    <t>RW cas</t>
  </si>
  <si>
    <t>Determinations of maxima for V526 Aql, BD Cas and V514 Cyg</t>
  </si>
  <si>
    <t>GEOS CEP 1</t>
  </si>
  <si>
    <t>CEP1</t>
  </si>
  <si>
    <t>V526 Aql, BD Cas, V514 Cyg</t>
  </si>
  <si>
    <t>GEOS RR Ly survey: FM Del is indeed a Cepheid</t>
  </si>
  <si>
    <t>GEOS CEP 2</t>
  </si>
  <si>
    <t>CEP2</t>
  </si>
  <si>
    <t>GEOS/arXiv</t>
  </si>
  <si>
    <t>FM Del</t>
  </si>
  <si>
    <t>Period variation of the classical Cepheid SV Vulpeculae over a century (1913-2022)</t>
  </si>
  <si>
    <t>CEP3</t>
  </si>
  <si>
    <t>SV Vul</t>
  </si>
  <si>
    <t>Files GitHub</t>
  </si>
  <si>
    <t>A new value of the period of the classical Cepheid RT Aur on the basis of 456 times of maximum, 1897-2023</t>
  </si>
  <si>
    <t>GEOS CEP 4</t>
  </si>
  <si>
    <t>CEP4</t>
  </si>
  <si>
    <t>New O-Cs for the classical Cepheids RY Cas and V Lac over a century (1876-2022)</t>
  </si>
  <si>
    <t>GEOS CEP 5</t>
  </si>
  <si>
    <t>CEP5</t>
  </si>
  <si>
    <t>RY Cas, V Lac</t>
  </si>
  <si>
    <t>Files GitHub (RY CAS)</t>
  </si>
  <si>
    <t>Files Github V Lac</t>
  </si>
  <si>
    <t>GEOS CEP 6</t>
  </si>
  <si>
    <t>CEP6</t>
  </si>
  <si>
    <t>W Gem</t>
  </si>
  <si>
    <t>NOMBRE DE ToM PAR ETOILE</t>
  </si>
  <si>
    <t>en jaune à compléter avant d'écrire une NC</t>
  </si>
  <si>
    <t>GEOS seulement</t>
  </si>
  <si>
    <t>en saumon les anomalies : étoiles observées   et sous représentées / non traitées</t>
  </si>
  <si>
    <t>SZ TAU / W GEM incomplet --etudes en cours</t>
  </si>
  <si>
    <t>Ecart-Type</t>
  </si>
  <si>
    <t>Moyenne de ToM</t>
  </si>
  <si>
    <t>(de 1 à 75 ToM)</t>
  </si>
  <si>
    <t>Nb étoiles</t>
  </si>
  <si>
    <t>GEOS ETOILES</t>
  </si>
  <si>
    <t>nb étoiles</t>
  </si>
  <si>
    <t>toM</t>
  </si>
  <si>
    <t>somme ToM</t>
  </si>
  <si>
    <t>NC sur les céphéides</t>
  </si>
  <si>
    <t>CONST</t>
  </si>
  <si>
    <t>ETOILE</t>
  </si>
  <si>
    <t>Nb de ToM</t>
  </si>
  <si>
    <t>AND</t>
  </si>
  <si>
    <t>AQL</t>
  </si>
  <si>
    <t>AUR</t>
  </si>
  <si>
    <t>CAM</t>
  </si>
  <si>
    <t>CAS</t>
  </si>
  <si>
    <t>CEP</t>
  </si>
  <si>
    <t>CYG</t>
  </si>
  <si>
    <t>DEL</t>
  </si>
  <si>
    <t>GEM</t>
  </si>
  <si>
    <t>HER</t>
  </si>
  <si>
    <t>LAC</t>
  </si>
  <si>
    <t>LYR</t>
  </si>
  <si>
    <t>MON</t>
  </si>
  <si>
    <t>OPH</t>
  </si>
  <si>
    <t>ORI</t>
  </si>
  <si>
    <t>RS</t>
  </si>
  <si>
    <t>PER</t>
  </si>
  <si>
    <t>SGE</t>
  </si>
  <si>
    <t>TAU</t>
  </si>
  <si>
    <t>EU</t>
  </si>
  <si>
    <t>VUL</t>
  </si>
  <si>
    <t>Complété avec GEOS CIRC CEP 3</t>
  </si>
  <si>
    <t>ToM CEPHEIDES AUTRES QUE GEOS</t>
  </si>
  <si>
    <t xml:space="preserve">fait </t>
  </si>
  <si>
    <t>update</t>
  </si>
  <si>
    <t xml:space="preserve">NB </t>
  </si>
  <si>
    <t>A FAIRE</t>
  </si>
  <si>
    <t>Const</t>
  </si>
  <si>
    <t>Nom Et.</t>
  </si>
  <si>
    <t>Erreur heure</t>
  </si>
  <si>
    <t>Type/meth.</t>
  </si>
  <si>
    <t>Code Ref</t>
  </si>
  <si>
    <t>compléter RT AUR</t>
  </si>
  <si>
    <t>GCVS 74</t>
  </si>
  <si>
    <t>GCVS</t>
  </si>
  <si>
    <t>Compléter W Gem</t>
  </si>
  <si>
    <t>Anon.</t>
  </si>
  <si>
    <t>ADS</t>
  </si>
  <si>
    <t>PZ, 22, 1987</t>
  </si>
  <si>
    <t>pv</t>
  </si>
  <si>
    <t>Henroteau, Frédette</t>
  </si>
  <si>
    <t>Henroteau 1925 / Obs. Ottawa</t>
  </si>
  <si>
    <t>Henroteau 1925</t>
  </si>
  <si>
    <t>SY</t>
  </si>
  <si>
    <t>BOO</t>
  </si>
  <si>
    <t>BAV - Born</t>
  </si>
  <si>
    <t>BAV</t>
  </si>
  <si>
    <t>BAV - Baule</t>
  </si>
  <si>
    <t>BAV - Kriebel</t>
  </si>
  <si>
    <t>BAV - n/a</t>
  </si>
  <si>
    <t>BAV - Groebel</t>
  </si>
  <si>
    <t>BAV - Reinhard</t>
  </si>
  <si>
    <t>BAV - Meyer</t>
  </si>
  <si>
    <t>Autres ToM From Tycho, IBVS 4375, 4306 et 4317 à insérer</t>
  </si>
  <si>
    <t>RU</t>
  </si>
  <si>
    <t>CWA</t>
  </si>
  <si>
    <t>BAV - KB</t>
  </si>
  <si>
    <t>BAV DataBase (Data for scientists)</t>
  </si>
  <si>
    <t>Hübscher 2017</t>
  </si>
  <si>
    <t>pg/pe</t>
  </si>
  <si>
    <t>BAV - WEB</t>
  </si>
  <si>
    <t>BAV - MYR</t>
  </si>
  <si>
    <t>DCEPS</t>
  </si>
  <si>
    <t>GCVS 71</t>
  </si>
  <si>
    <t>Gieren 1976</t>
  </si>
  <si>
    <t>à checker</t>
  </si>
  <si>
    <t>SW</t>
  </si>
  <si>
    <t>DCEP(B) ou CWB</t>
  </si>
  <si>
    <t>GCVS 1969</t>
  </si>
  <si>
    <t>GCVS 1974</t>
  </si>
  <si>
    <t>VZ</t>
  </si>
  <si>
    <t xml:space="preserve">CYG </t>
  </si>
  <si>
    <t>GCVS 1958</t>
  </si>
  <si>
    <t>Schneider 1969</t>
  </si>
  <si>
    <t>ERI</t>
  </si>
  <si>
    <t>RZ</t>
  </si>
  <si>
    <t>PUP</t>
  </si>
  <si>
    <t>SCO</t>
  </si>
  <si>
    <t>RV</t>
  </si>
  <si>
    <t>BAV-SM (Sturm)</t>
  </si>
  <si>
    <t>Pagel 2023</t>
  </si>
  <si>
    <t>SCT</t>
  </si>
  <si>
    <t>GCVS 69</t>
  </si>
  <si>
    <t>SGR</t>
  </si>
  <si>
    <t>WZ</t>
  </si>
  <si>
    <t>XX</t>
  </si>
  <si>
    <t>YZ</t>
  </si>
  <si>
    <t>UMi</t>
  </si>
  <si>
    <t>ALPHA</t>
  </si>
  <si>
    <t>Gerasimov (Nielsen 1937/Nassau 1942)</t>
  </si>
  <si>
    <t>Boistel, 2022</t>
  </si>
  <si>
    <t>GEOS Cep 3</t>
  </si>
  <si>
    <t>Leiner, AN  235, 1929</t>
  </si>
  <si>
    <t>Szabados, CoKon, 96, 226; 1991</t>
  </si>
  <si>
    <t>Zacharov 1928</t>
  </si>
  <si>
    <t>Nielsen 1937/Leiner</t>
  </si>
  <si>
    <t>Nielsen 1937</t>
  </si>
  <si>
    <t>Nielsen 1937/Zacharov</t>
  </si>
  <si>
    <t>Nielsen 1937/Beyer</t>
  </si>
  <si>
    <t>Nassau 1942</t>
  </si>
  <si>
    <t>Nielsen 1937/Leiner/AN 235.267</t>
  </si>
  <si>
    <t>Nielsen 1937/Ahnert/AN 241.272</t>
  </si>
  <si>
    <t>Ahnert 1931</t>
  </si>
  <si>
    <t>Parenago 1956 PZ 11 236</t>
  </si>
  <si>
    <t>Nielsen 1937/Harvard/Nassau</t>
  </si>
  <si>
    <t>Nielsen 1937/Kukarkin (mss)</t>
  </si>
  <si>
    <t>Schröder 1978</t>
  </si>
  <si>
    <t>IBVS 1807</t>
  </si>
  <si>
    <t>AAVSO WebObs</t>
  </si>
  <si>
    <t>AAVSO</t>
  </si>
  <si>
    <t>Mitchell et al, 1964</t>
  </si>
  <si>
    <t>Fernie et al. 1965</t>
  </si>
  <si>
    <t>Fernie 1979</t>
  </si>
  <si>
    <t>Moffett, 1980, ApJ 44, 427-450</t>
  </si>
  <si>
    <t>service-for-scientists/bav-data</t>
  </si>
  <si>
    <t>HIPPARCOS</t>
  </si>
  <si>
    <t>HIP</t>
  </si>
  <si>
    <t>KISS, 1998</t>
  </si>
  <si>
    <t>Meyer/OEJV 0051 / unpubl. Priv. Com.</t>
  </si>
  <si>
    <t>Kriebel, BAVMitt 202, 2008/OEJV dec 2008</t>
  </si>
  <si>
    <t>KWS DATA SET</t>
  </si>
  <si>
    <t>KWS</t>
  </si>
  <si>
    <t>ASAS-SN</t>
  </si>
  <si>
    <t>ASAS</t>
  </si>
  <si>
    <t>TG, G DSLR green channel</t>
  </si>
  <si>
    <t>SPA Spelda Jörg</t>
  </si>
  <si>
    <t>BAV J 091/BAVM 261-1</t>
  </si>
  <si>
    <t>GEOS NC338</t>
  </si>
  <si>
    <t>RMS</t>
  </si>
  <si>
    <t>TRP</t>
  </si>
  <si>
    <t>POI</t>
  </si>
  <si>
    <t>ROY</t>
  </si>
  <si>
    <t>GUI</t>
  </si>
  <si>
    <t>LTL</t>
  </si>
  <si>
    <t>FLB</t>
  </si>
  <si>
    <t>WAB</t>
  </si>
  <si>
    <t>BUZ</t>
  </si>
  <si>
    <t>FRL</t>
  </si>
  <si>
    <t>ALB</t>
  </si>
  <si>
    <t>PMP</t>
  </si>
  <si>
    <t>FCH</t>
  </si>
  <si>
    <t>CLV</t>
  </si>
  <si>
    <t>NZY</t>
  </si>
  <si>
    <t>FICOLA</t>
  </si>
  <si>
    <t>MLO</t>
  </si>
  <si>
    <t>BTL</t>
  </si>
  <si>
    <t>MAM</t>
  </si>
  <si>
    <t>GEOS NC338, BSQ</t>
  </si>
  <si>
    <t>FGR</t>
  </si>
  <si>
    <t>GEOS NC338+NC1324</t>
  </si>
  <si>
    <t>RAL</t>
  </si>
  <si>
    <t>ROL</t>
  </si>
  <si>
    <t>MIS</t>
  </si>
  <si>
    <t>Etude par DMT mais ToM non extrayable…</t>
  </si>
  <si>
    <t>GEOS CIRC CEP 05, Boistel 2024</t>
  </si>
  <si>
    <t>GEOS CIRC CEP 06, Boistel 2024</t>
  </si>
  <si>
    <t>Boistel, 2024</t>
  </si>
  <si>
    <t xml:space="preserve">GEOS CIRC CEP 5 </t>
  </si>
  <si>
    <t>Complété avec GEOS CIRC CEP4</t>
  </si>
  <si>
    <t>GEOS CIRC CEP4, Boistel 2023</t>
  </si>
  <si>
    <t>IR CEP</t>
  </si>
  <si>
    <t>FND 1983-84</t>
  </si>
  <si>
    <t>FND 2020-21</t>
  </si>
  <si>
    <t>Décompte des étoiles et liens entre feuilles de calcul</t>
  </si>
  <si>
    <t>SZ TAU</t>
  </si>
  <si>
    <t>FND 2022-2024</t>
  </si>
  <si>
    <t>ToM individule</t>
  </si>
  <si>
    <t>compositage 2022</t>
  </si>
  <si>
    <t>compositage 2023</t>
  </si>
  <si>
    <t>SV VUL</t>
  </si>
  <si>
    <t>DMT 2022-2023</t>
  </si>
  <si>
    <t>Maj 22-03-25</t>
  </si>
  <si>
    <t>W GEM</t>
  </si>
  <si>
    <t>AW PER</t>
  </si>
  <si>
    <t>maJn céphéides</t>
  </si>
  <si>
    <t>CR</t>
  </si>
  <si>
    <t>V379</t>
  </si>
  <si>
    <t>(GY)</t>
  </si>
  <si>
    <t>TX CYG</t>
  </si>
  <si>
    <t>FND 2018-19-20</t>
  </si>
  <si>
    <t>FND 2012-2016</t>
  </si>
  <si>
    <t>V514 CYG</t>
  </si>
  <si>
    <t>FND 2013-2014</t>
  </si>
  <si>
    <t>Boistel 2024</t>
  </si>
  <si>
    <t>Notes</t>
  </si>
  <si>
    <t>ETOILE NOM</t>
  </si>
  <si>
    <t>(FM)</t>
  </si>
  <si>
    <t>GEOS CIRC parue ou en cours</t>
  </si>
  <si>
    <t>GEOS CIRC EN COURS</t>
  </si>
  <si>
    <t>NB obs/étoile</t>
  </si>
  <si>
    <t>Nb NC où étoile mentionnée</t>
  </si>
  <si>
    <t>GEOS Publi</t>
  </si>
  <si>
    <t>CCD</t>
  </si>
  <si>
    <t>GEOS FUM (Fumagalli)</t>
  </si>
  <si>
    <t>Erreur de comptage (why ?)  35</t>
  </si>
  <si>
    <t>Acerbi, F.</t>
  </si>
  <si>
    <t>avec FBG</t>
  </si>
  <si>
    <t>avec Klotz A.</t>
  </si>
  <si>
    <t>Le Borgne, J.F.</t>
  </si>
  <si>
    <t>Klotz</t>
  </si>
  <si>
    <t>Fabregat</t>
  </si>
  <si>
    <t>Barani</t>
  </si>
  <si>
    <t>avec Barani, C.</t>
  </si>
  <si>
    <t>Acerbi</t>
  </si>
  <si>
    <t>Boninsegna</t>
  </si>
  <si>
    <t>Colombo</t>
  </si>
  <si>
    <t>Dalmazio</t>
  </si>
  <si>
    <t>Dumont</t>
  </si>
  <si>
    <t>Figer</t>
  </si>
  <si>
    <t>Le Borgne</t>
  </si>
  <si>
    <t>Frangeul</t>
  </si>
  <si>
    <t>Gobet</t>
  </si>
  <si>
    <t>Kuchto</t>
  </si>
  <si>
    <t>Vialle</t>
  </si>
  <si>
    <t>Wabnitz</t>
  </si>
  <si>
    <t>FUM CCD</t>
  </si>
  <si>
    <t>Period variation of the classical Cepheid W Gem over a century (1895-2024)</t>
  </si>
  <si>
    <t>CEPHEIDES</t>
  </si>
  <si>
    <t>n/a</t>
  </si>
  <si>
    <t>P. Var. quad</t>
  </si>
  <si>
    <t>eph à corriger</t>
  </si>
  <si>
    <t>à l'heure</t>
  </si>
  <si>
    <t>à l'heure avec bizarreries</t>
  </si>
  <si>
    <t>P. var. à checker</t>
  </si>
  <si>
    <t>n/a telescope CCD</t>
  </si>
  <si>
    <t>P. var.</t>
  </si>
  <si>
    <t>P. var. ephem à corriger</t>
  </si>
  <si>
    <t>moins d'infos que GEOS à checker</t>
  </si>
  <si>
    <t>P. var. légert à checker</t>
  </si>
  <si>
    <t>P. Var quad telescope</t>
  </si>
  <si>
    <t>O-C dispersés / CCD</t>
  </si>
  <si>
    <t>beat cepheid  O-C groupés</t>
  </si>
  <si>
    <t>P. Var. œil nu</t>
  </si>
  <si>
    <t>P. var. (GEOS target)</t>
  </si>
  <si>
    <t>P. var (binaire ?)</t>
  </si>
  <si>
    <t>à l'heure mais check</t>
  </si>
  <si>
    <t>à l'heure, lgt var ?</t>
  </si>
  <si>
    <t xml:space="preserve">n/a GEOS / CCD? </t>
  </si>
  <si>
    <t>à l'heure ? Check CCD</t>
  </si>
  <si>
    <t>à l'heure ephem à corriger</t>
  </si>
  <si>
    <t>n/a Bin100 , telescope</t>
  </si>
  <si>
    <t>P. Var œil nu</t>
  </si>
  <si>
    <t>P. Var quad</t>
  </si>
  <si>
    <t>P. var quad</t>
  </si>
  <si>
    <t>P. Var. avec bizarreries</t>
  </si>
  <si>
    <t>Ephem à corriger</t>
  </si>
  <si>
    <t>n/a - CCD demandé</t>
  </si>
  <si>
    <t>à l'heure mais check telescope</t>
  </si>
  <si>
    <t>à observer - peu de points</t>
  </si>
  <si>
    <t xml:space="preserve">à l'heure … </t>
  </si>
  <si>
    <t>P. Var avec bizarreries</t>
  </si>
  <si>
    <t>à l'heure …</t>
  </si>
  <si>
    <t>n/a CCD demandé</t>
  </si>
  <si>
    <t>P. var. quad</t>
  </si>
  <si>
    <t>à l'heure mais check.</t>
  </si>
  <si>
    <t>GEOS CEPHEID DB notes (meyer's data)</t>
  </si>
  <si>
    <t>FN AQL</t>
  </si>
  <si>
    <t>RR Lac</t>
  </si>
  <si>
    <t>S SGE</t>
  </si>
  <si>
    <t>ST TAU</t>
  </si>
  <si>
    <t>SU CYG</t>
  </si>
  <si>
    <t>SZ CYG</t>
  </si>
  <si>
    <t>RR LAC</t>
  </si>
  <si>
    <t>YZ AUR</t>
  </si>
  <si>
    <t>Z SCT</t>
  </si>
  <si>
    <t>AK CEP</t>
  </si>
  <si>
    <t>AP HER (**)</t>
  </si>
  <si>
    <t>PP AQL (**)</t>
  </si>
  <si>
    <t>AS PER</t>
  </si>
  <si>
    <t>AY SGR</t>
  </si>
  <si>
    <t>(BE MON)</t>
  </si>
  <si>
    <t>BE MON</t>
  </si>
  <si>
    <t>AO AUR (*)</t>
  </si>
  <si>
    <t>BG LAC</t>
  </si>
  <si>
    <t>BM PER (*)</t>
  </si>
  <si>
    <t>(BZ CYG)</t>
  </si>
  <si>
    <t>BZ CYG</t>
  </si>
  <si>
    <t>CD CAS (*)</t>
  </si>
  <si>
    <t>CD CYG (**)</t>
  </si>
  <si>
    <t>CF CAS (**)</t>
  </si>
  <si>
    <t>CG CAS (**)</t>
  </si>
  <si>
    <t>CH CAS (**)</t>
  </si>
  <si>
    <t>CM SCT</t>
  </si>
  <si>
    <t>CP CEP (**)</t>
  </si>
  <si>
    <t>(CP CEP)</t>
  </si>
  <si>
    <t>CS ORI (**)</t>
  </si>
  <si>
    <t>Gros telescope &gt; T200/CCD</t>
  </si>
  <si>
    <t>CV MON</t>
  </si>
  <si>
    <t>(CV MON)</t>
  </si>
  <si>
    <t>CY CAS</t>
  </si>
  <si>
    <t>DG VUL</t>
  </si>
  <si>
    <t>GY SGE (**)</t>
  </si>
  <si>
    <t>IX CAS (**)</t>
  </si>
  <si>
    <t>petit telescope 130-150/CCD</t>
  </si>
  <si>
    <t>PZ AQL (**)</t>
  </si>
  <si>
    <t>RU SCT (**)</t>
  </si>
  <si>
    <t>RY CMA (*)</t>
  </si>
  <si>
    <t>RZ GEM (**)</t>
  </si>
  <si>
    <t>S VUL (**)</t>
  </si>
  <si>
    <t>SS SCT</t>
  </si>
  <si>
    <t>SW CAS</t>
  </si>
  <si>
    <t>SY AUR (*)</t>
  </si>
  <si>
    <t>SY CAS (*-)</t>
  </si>
  <si>
    <t>SZ AQL (**)</t>
  </si>
  <si>
    <t>T MON (**)</t>
  </si>
  <si>
    <t>TW CAP (***)</t>
  </si>
  <si>
    <t>TY SCT (*-)</t>
  </si>
  <si>
    <t>TZ MON</t>
  </si>
  <si>
    <t>UY PER</t>
  </si>
  <si>
    <t>UZ CAS (*)</t>
  </si>
  <si>
    <t>Delta CEP (**)</t>
  </si>
  <si>
    <t>Zeta GEM (**)</t>
  </si>
  <si>
    <t>Eta AQL (**)</t>
  </si>
  <si>
    <t>V LAC (**)</t>
  </si>
  <si>
    <t>V493 Aql (*-)</t>
  </si>
  <si>
    <t>V532 CYG (***)</t>
  </si>
  <si>
    <t>V600 AQL (*)</t>
  </si>
  <si>
    <t>(V600 Aql) (*)</t>
  </si>
  <si>
    <t>VV CAS (**)</t>
  </si>
  <si>
    <t>VX CYG (**)</t>
  </si>
  <si>
    <t>VY CYG</t>
  </si>
  <si>
    <t>VY PER</t>
  </si>
  <si>
    <t>VZ CYG (**)</t>
  </si>
  <si>
    <t>X CYG (-*)</t>
  </si>
  <si>
    <t>X LAC (***)</t>
  </si>
  <si>
    <t>X PUP (***)</t>
  </si>
  <si>
    <t>X VUL (*-)</t>
  </si>
  <si>
    <t xml:space="preserve">XX SGR </t>
  </si>
  <si>
    <t>Y AUR</t>
  </si>
  <si>
    <t>Y LAC</t>
  </si>
  <si>
    <t>Y OPH (**)</t>
  </si>
  <si>
    <t>Y SGR (*)</t>
  </si>
  <si>
    <t xml:space="preserve">YZ AUR </t>
  </si>
  <si>
    <t>Z LAC (*-)</t>
  </si>
  <si>
    <t>Z SCT (*-)</t>
  </si>
  <si>
    <t>RY CAS (**)</t>
  </si>
  <si>
    <t>SV VUL (**)</t>
  </si>
  <si>
    <t>T VUL (**)</t>
  </si>
  <si>
    <t>U VUL (*)</t>
  </si>
  <si>
    <t>TU CAS (**) beat cep</t>
  </si>
  <si>
    <t>œil nu/J21-30</t>
  </si>
  <si>
    <t>jumelles--&gt; J100/CCD</t>
  </si>
  <si>
    <t>CK CAM ephem à corr</t>
  </si>
  <si>
    <t>DT CYG (*)</t>
  </si>
  <si>
    <t>FF AQL(*-)</t>
  </si>
  <si>
    <t>FM AQL</t>
  </si>
  <si>
    <t>RT AUR (*)</t>
  </si>
  <si>
    <t>RX CAM</t>
  </si>
  <si>
    <t>RW CAM (*-)</t>
  </si>
  <si>
    <t>SU CAS (*)</t>
  </si>
  <si>
    <t>SV PER (*)</t>
  </si>
  <si>
    <t>SV MON (**)</t>
  </si>
  <si>
    <t>TT AQL (*-)</t>
  </si>
  <si>
    <t>U AQL (*)</t>
  </si>
  <si>
    <t>W GEM (**)</t>
  </si>
  <si>
    <t>VX PER (**)</t>
  </si>
  <si>
    <t>Y SGR (- eph corr)</t>
  </si>
  <si>
    <t>RY Cas (**)</t>
  </si>
  <si>
    <t>RS ORI (*)</t>
  </si>
  <si>
    <t>TV CMA (*-)</t>
  </si>
  <si>
    <t>TW CMA (*)</t>
  </si>
  <si>
    <t>*-</t>
  </si>
  <si>
    <t>*</t>
  </si>
  <si>
    <t>**</t>
  </si>
  <si>
    <t>***</t>
  </si>
  <si>
    <t>rien</t>
  </si>
  <si>
    <t>à checker / peu de données</t>
  </si>
  <si>
    <t>interessante</t>
  </si>
  <si>
    <t>Prioritaire</t>
  </si>
  <si>
    <t>Ultra prioritaire</t>
  </si>
  <si>
    <t>LEGENDE</t>
  </si>
  <si>
    <t>TX CYG (**)</t>
  </si>
  <si>
    <t>AC MON (**)</t>
  </si>
  <si>
    <t>(BM PER) (*)</t>
  </si>
  <si>
    <t>AU 10 AVRIL 2025</t>
  </si>
  <si>
    <t>SEULEMENT MEYER'S DATA (BAV)</t>
  </si>
  <si>
    <t>à l'heure/ No period variation</t>
  </si>
  <si>
    <t>AA GEM (**)</t>
  </si>
  <si>
    <t>AW PER (*)</t>
  </si>
  <si>
    <t xml:space="preserve">Check avec </t>
  </si>
  <si>
    <t>https://github.com/csogeza/O-C_extract/tree/main/Csornyei2021_data</t>
  </si>
  <si>
    <t>plus complet</t>
  </si>
  <si>
    <t>V459 CYG (**)</t>
  </si>
  <si>
    <t>Quelques données sur les variations de période et les diagrammes d'O-C des céphéïdes du PP visuel du GEOS</t>
  </si>
  <si>
    <t>GEOS NC 137</t>
  </si>
  <si>
    <t>17 céphéides</t>
  </si>
  <si>
    <t>FT17, rév. 23</t>
  </si>
  <si>
    <t>https://github.com/GEOS-Cepheids/GEOS-bibliography-on-cepheids</t>
  </si>
  <si>
    <t>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</si>
</sst>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6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2" fillId="2" borderId="0" xfId="0" applyNumberFormat="1" applyFont="1" applyFill="1"/>
    <xf numFmtId="164" fontId="3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7" fillId="2" borderId="0" xfId="0" applyFont="1" applyFill="1"/>
    <xf numFmtId="0" fontId="8" fillId="2" borderId="0" xfId="0" applyFont="1" applyFill="1"/>
    <xf numFmtId="164" fontId="7" fillId="2" borderId="0" xfId="0" applyNumberFormat="1" applyFont="1" applyFill="1"/>
    <xf numFmtId="164" fontId="8" fillId="2" borderId="0" xfId="0" applyNumberFormat="1" applyFont="1" applyFill="1"/>
    <xf numFmtId="2" fontId="0" fillId="0" borderId="0" xfId="0" applyNumberFormat="1" applyAlignment="1">
      <alignment horizontal="right"/>
    </xf>
    <xf numFmtId="14" fontId="9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0" fillId="6" borderId="0" xfId="0" applyFont="1" applyFill="1"/>
    <xf numFmtId="0" fontId="10" fillId="7" borderId="0" xfId="0" applyFont="1" applyFill="1"/>
    <xf numFmtId="14" fontId="11" fillId="2" borderId="0" xfId="0" applyNumberFormat="1" applyFont="1" applyFill="1"/>
    <xf numFmtId="0" fontId="12" fillId="0" borderId="0" xfId="0" applyFont="1"/>
    <xf numFmtId="0" fontId="10" fillId="2" borderId="0" xfId="0" applyFont="1" applyFill="1"/>
    <xf numFmtId="0" fontId="0" fillId="3" borderId="0" xfId="0" applyFill="1"/>
    <xf numFmtId="0" fontId="10" fillId="3" borderId="0" xfId="0" applyFont="1" applyFill="1"/>
    <xf numFmtId="2" fontId="0" fillId="0" borderId="0" xfId="0" applyNumberFormat="1"/>
    <xf numFmtId="0" fontId="12" fillId="8" borderId="0" xfId="0" applyFont="1" applyFill="1"/>
    <xf numFmtId="0" fontId="0" fillId="8" borderId="0" xfId="0" applyFill="1"/>
    <xf numFmtId="0" fontId="13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14" fillId="2" borderId="0" xfId="1" applyFont="1" applyFill="1" applyAlignment="1">
      <alignment horizontal="left"/>
    </xf>
    <xf numFmtId="0" fontId="15" fillId="2" borderId="0" xfId="0" applyFon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4" fillId="2" borderId="0" xfId="1" applyFont="1" applyFill="1" applyAlignment="1">
      <alignment horizontal="center"/>
    </xf>
    <xf numFmtId="22" fontId="2" fillId="2" borderId="0" xfId="0" applyNumberFormat="1" applyFont="1" applyFill="1" applyAlignment="1">
      <alignment horizontal="left"/>
    </xf>
    <xf numFmtId="0" fontId="12" fillId="8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2" fillId="8" borderId="0" xfId="0" applyFont="1" applyFill="1"/>
    <xf numFmtId="164" fontId="2" fillId="8" borderId="0" xfId="0" applyNumberFormat="1" applyFont="1" applyFill="1"/>
    <xf numFmtId="0" fontId="9" fillId="0" borderId="0" xfId="0" applyFont="1"/>
    <xf numFmtId="14" fontId="2" fillId="0" borderId="0" xfId="0" applyNumberFormat="1" applyFont="1"/>
    <xf numFmtId="0" fontId="0" fillId="7" borderId="0" xfId="0" applyFill="1"/>
    <xf numFmtId="2" fontId="0" fillId="7" borderId="0" xfId="0" applyNumberFormat="1" applyFill="1"/>
    <xf numFmtId="0" fontId="0" fillId="7" borderId="0" xfId="0" applyFill="1" applyAlignment="1">
      <alignment horizontal="left"/>
    </xf>
    <xf numFmtId="164" fontId="0" fillId="7" borderId="0" xfId="0" applyNumberFormat="1" applyFill="1"/>
    <xf numFmtId="0" fontId="12" fillId="8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16" fillId="9" borderId="0" xfId="0" applyFont="1" applyFill="1" applyAlignment="1">
      <alignment horizontal="left"/>
    </xf>
    <xf numFmtId="0" fontId="12" fillId="8" borderId="0" xfId="0" applyFont="1" applyFill="1" applyAlignment="1">
      <alignment horizontal="left"/>
    </xf>
    <xf numFmtId="0" fontId="15" fillId="2" borderId="0" xfId="1" applyFont="1" applyFill="1" applyAlignment="1">
      <alignment horizontal="center"/>
    </xf>
    <xf numFmtId="0" fontId="17" fillId="2" borderId="0" xfId="1" applyFont="1" applyFill="1" applyAlignment="1">
      <alignment horizontal="left"/>
    </xf>
    <xf numFmtId="0" fontId="0" fillId="10" borderId="0" xfId="0" applyFill="1"/>
    <xf numFmtId="2" fontId="0" fillId="10" borderId="0" xfId="0" applyNumberFormat="1" applyFill="1"/>
    <xf numFmtId="0" fontId="0" fillId="10" borderId="0" xfId="0" applyFill="1" applyAlignment="1">
      <alignment horizontal="left"/>
    </xf>
    <xf numFmtId="0" fontId="0" fillId="11" borderId="0" xfId="0" applyFill="1"/>
    <xf numFmtId="2" fontId="0" fillId="11" borderId="0" xfId="0" applyNumberFormat="1" applyFill="1"/>
    <xf numFmtId="0" fontId="0" fillId="11" borderId="0" xfId="0" applyFill="1" applyAlignment="1">
      <alignment horizontal="left"/>
    </xf>
    <xf numFmtId="0" fontId="0" fillId="4" borderId="0" xfId="0" applyFill="1"/>
    <xf numFmtId="164" fontId="4" fillId="8" borderId="0" xfId="0" applyNumberFormat="1" applyFont="1" applyFill="1"/>
    <xf numFmtId="164" fontId="0" fillId="10" borderId="0" xfId="0" applyNumberFormat="1" applyFill="1"/>
    <xf numFmtId="164" fontId="0" fillId="11" borderId="0" xfId="0" applyNumberFormat="1" applyFill="1"/>
    <xf numFmtId="14" fontId="4" fillId="8" borderId="0" xfId="0" applyNumberFormat="1" applyFont="1" applyFill="1"/>
    <xf numFmtId="49" fontId="2" fillId="8" borderId="0" xfId="0" applyNumberFormat="1" applyFont="1" applyFill="1"/>
    <xf numFmtId="0" fontId="10" fillId="2" borderId="0" xfId="0" applyFont="1" applyFill="1" applyAlignment="1">
      <alignment horizontal="left"/>
    </xf>
    <xf numFmtId="2" fontId="1" fillId="3" borderId="0" xfId="0" applyNumberFormat="1" applyFont="1" applyFill="1"/>
    <xf numFmtId="0" fontId="1" fillId="3" borderId="0" xfId="0" applyFont="1" applyFill="1"/>
    <xf numFmtId="2" fontId="10" fillId="3" borderId="0" xfId="0" applyNumberFormat="1" applyFont="1" applyFill="1"/>
    <xf numFmtId="0" fontId="18" fillId="0" borderId="0" xfId="0" applyFont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4" fillId="12" borderId="3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20" fillId="13" borderId="0" xfId="0" applyFont="1" applyFill="1"/>
    <xf numFmtId="0" fontId="4" fillId="2" borderId="3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21" fillId="2" borderId="0" xfId="0" applyFont="1" applyFill="1"/>
    <xf numFmtId="0" fontId="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9" fillId="8" borderId="0" xfId="0" applyFont="1" applyFill="1" applyAlignment="1">
      <alignment horizontal="center"/>
    </xf>
    <xf numFmtId="0" fontId="19" fillId="0" borderId="0" xfId="0" applyFont="1"/>
    <xf numFmtId="0" fontId="0" fillId="8" borderId="0" xfId="0" applyFill="1" applyAlignment="1">
      <alignment horizontal="center"/>
    </xf>
    <xf numFmtId="0" fontId="4" fillId="0" borderId="0" xfId="0" applyFont="1" applyAlignment="1">
      <alignment horizontal="center"/>
    </xf>
    <xf numFmtId="164" fontId="0" fillId="4" borderId="0" xfId="0" applyNumberFormat="1" applyFill="1"/>
    <xf numFmtId="2" fontId="0" fillId="4" borderId="0" xfId="0" applyNumberFormat="1" applyFill="1"/>
    <xf numFmtId="0" fontId="0" fillId="4" borderId="0" xfId="0" applyFill="1" applyAlignment="1">
      <alignment horizontal="left"/>
    </xf>
    <xf numFmtId="0" fontId="0" fillId="14" borderId="0" xfId="0" applyFill="1"/>
    <xf numFmtId="164" fontId="0" fillId="14" borderId="0" xfId="0" applyNumberFormat="1" applyFill="1"/>
    <xf numFmtId="2" fontId="0" fillId="14" borderId="0" xfId="0" applyNumberFormat="1" applyFill="1"/>
    <xf numFmtId="0" fontId="0" fillId="14" borderId="0" xfId="0" applyFill="1" applyAlignment="1">
      <alignment horizontal="left"/>
    </xf>
    <xf numFmtId="0" fontId="0" fillId="13" borderId="0" xfId="0" applyFill="1"/>
    <xf numFmtId="164" fontId="0" fillId="13" borderId="0" xfId="0" applyNumberFormat="1" applyFill="1"/>
    <xf numFmtId="2" fontId="0" fillId="13" borderId="0" xfId="0" applyNumberFormat="1" applyFill="1"/>
    <xf numFmtId="0" fontId="0" fillId="13" borderId="0" xfId="0" applyFill="1" applyAlignment="1">
      <alignment horizontal="left"/>
    </xf>
    <xf numFmtId="0" fontId="0" fillId="15" borderId="0" xfId="0" applyFill="1"/>
    <xf numFmtId="164" fontId="0" fillId="15" borderId="0" xfId="0" applyNumberFormat="1" applyFill="1"/>
    <xf numFmtId="2" fontId="0" fillId="15" borderId="0" xfId="0" applyNumberFormat="1" applyFill="1"/>
    <xf numFmtId="0" fontId="0" fillId="15" borderId="0" xfId="0" applyFill="1" applyAlignment="1">
      <alignment horizontal="left"/>
    </xf>
    <xf numFmtId="2" fontId="0" fillId="15" borderId="0" xfId="0" applyNumberFormat="1" applyFill="1" applyAlignment="1">
      <alignment horizontal="right"/>
    </xf>
    <xf numFmtId="164" fontId="0" fillId="7" borderId="0" xfId="0" applyNumberFormat="1" applyFill="1" applyAlignment="1">
      <alignment horizontal="right" vertical="center" wrapText="1"/>
    </xf>
    <xf numFmtId="0" fontId="1" fillId="7" borderId="0" xfId="0" applyFont="1" applyFill="1"/>
    <xf numFmtId="164" fontId="0" fillId="15" borderId="1" xfId="0" applyNumberFormat="1" applyFill="1" applyBorder="1"/>
    <xf numFmtId="164" fontId="0" fillId="15" borderId="2" xfId="0" applyNumberFormat="1" applyFill="1" applyBorder="1"/>
    <xf numFmtId="0" fontId="1" fillId="16" borderId="0" xfId="0" applyFont="1" applyFill="1"/>
    <xf numFmtId="0" fontId="0" fillId="16" borderId="0" xfId="0" applyFill="1"/>
    <xf numFmtId="0" fontId="1" fillId="11" borderId="0" xfId="0" applyFont="1" applyFill="1"/>
    <xf numFmtId="0" fontId="14" fillId="0" borderId="0" xfId="1" applyFont="1"/>
    <xf numFmtId="0" fontId="6" fillId="0" borderId="0" xfId="1" applyAlignment="1">
      <alignment horizontal="left"/>
    </xf>
    <xf numFmtId="0" fontId="22" fillId="17" borderId="0" xfId="0" applyFont="1" applyFill="1"/>
  </cellXfs>
  <cellStyles count="2">
    <cellStyle name="Lien hypertexte" xfId="1" builtinId="8"/>
    <cellStyle name="Normal" xfId="0" builtinId="0"/>
  </cellStyles>
  <dxfs count="24">
    <dxf>
      <numFmt numFmtId="164" formatCode="0.000"/>
    </dxf>
    <dxf>
      <numFmt numFmtId="164" formatCode="0.000"/>
    </dxf>
    <dxf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alignment horizontal="left" vertical="bottom" textRotation="0" wrapText="0" indent="0" justifyLastLine="0" shrinkToFit="0" readingOrder="0"/>
    </dxf>
    <dxf>
      <font>
        <b val="0"/>
      </font>
      <alignment horizontal="left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left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2" formatCode="0.00"/>
    </dxf>
    <dxf>
      <numFmt numFmtId="164" formatCode="0.000"/>
    </dxf>
    <dxf>
      <font>
        <strike val="0"/>
        <outline val="0"/>
        <shadow val="0"/>
        <u val="none"/>
        <vertAlign val="baseline"/>
        <sz val="11"/>
        <color theme="1"/>
      </font>
      <numFmt numFmtId="164" formatCode="0.00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8471270028616694E-2"/>
          <c:y val="0.15165468723189263"/>
          <c:w val="0.95545431891423327"/>
          <c:h val="0.82897485271968119"/>
        </c:manualLayout>
      </c:layout>
      <c:pie3DChart>
        <c:varyColors val="1"/>
        <c:ser>
          <c:idx val="0"/>
          <c:order val="0"/>
          <c:explosion val="28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B1AC-4005-9230-F469AC6EA2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1AC-4005-9230-F469AC6EA2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B1AC-4005-9230-F469AC6EA2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1AC-4005-9230-F469AC6EA2D1}"/>
              </c:ext>
            </c:extLst>
          </c:dPt>
          <c:dPt>
            <c:idx val="4"/>
            <c:bubble3D val="0"/>
            <c:explosion val="27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B1AC-4005-9230-F469AC6EA2D1}"/>
              </c:ext>
            </c:extLst>
          </c:dPt>
          <c:dPt>
            <c:idx val="5"/>
            <c:bubble3D val="0"/>
            <c:explosion val="24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1AC-4005-9230-F469AC6EA2D1}"/>
              </c:ext>
            </c:extLst>
          </c:dPt>
          <c:dPt>
            <c:idx val="6"/>
            <c:bubble3D val="0"/>
            <c:explosion val="26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B1AC-4005-9230-F469AC6EA2D1}"/>
              </c:ext>
            </c:extLst>
          </c:dPt>
          <c:dPt>
            <c:idx val="7"/>
            <c:bubble3D val="0"/>
            <c:explosion val="3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B1AC-4005-9230-F469AC6EA2D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B1AC-4005-9230-F469AC6EA2D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3985-4757-AD64-C53A1654E1C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B1AC-4005-9230-F469AC6EA2D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B1AC-4005-9230-F469AC6EA2D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3985-4757-AD64-C53A1654E1C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B1AC-4005-9230-F469AC6EA2D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1AC-4005-9230-F469AC6EA2D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E-B1AC-4005-9230-F469AC6EA2D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B1AC-4005-9230-F469AC6EA2D1}"/>
              </c:ext>
            </c:extLst>
          </c:dPt>
          <c:dLbls>
            <c:dLbl>
              <c:idx val="0"/>
              <c:layout>
                <c:manualLayout>
                  <c:x val="3.4754523134467551E-2"/>
                  <c:y val="-6.997063257225423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1AC-4005-9230-F469AC6EA2D1}"/>
                </c:ext>
              </c:extLst>
            </c:dLbl>
            <c:dLbl>
              <c:idx val="1"/>
              <c:layout>
                <c:manualLayout>
                  <c:x val="7.357930591541513E-2"/>
                  <c:y val="-4.398654808885436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AC-4005-9230-F469AC6EA2D1}"/>
                </c:ext>
              </c:extLst>
            </c:dLbl>
            <c:dLbl>
              <c:idx val="2"/>
              <c:layout>
                <c:manualLayout>
                  <c:x val="8.0006943971160982E-2"/>
                  <c:y val="1.873487824304396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1AC-4005-9230-F469AC6EA2D1}"/>
                </c:ext>
              </c:extLst>
            </c:dLbl>
            <c:dLbl>
              <c:idx val="3"/>
              <c:layout>
                <c:manualLayout>
                  <c:x val="-4.8139526546704572E-2"/>
                  <c:y val="9.876597558446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1AC-4005-9230-F469AC6EA2D1}"/>
                </c:ext>
              </c:extLst>
            </c:dLbl>
            <c:dLbl>
              <c:idx val="4"/>
              <c:layout>
                <c:manualLayout>
                  <c:x val="-8.0851697497609856E-2"/>
                  <c:y val="1.229966340427309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1AC-4005-9230-F469AC6EA2D1}"/>
                </c:ext>
              </c:extLst>
            </c:dLbl>
            <c:dLbl>
              <c:idx val="5"/>
              <c:layout>
                <c:manualLayout>
                  <c:x val="4.6509374164092638E-3"/>
                  <c:y val="-4.154125000282914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1AC-4005-9230-F469AC6EA2D1}"/>
                </c:ext>
              </c:extLst>
            </c:dLbl>
            <c:dLbl>
              <c:idx val="6"/>
              <c:layout>
                <c:manualLayout>
                  <c:x val="-0.12928064371978357"/>
                  <c:y val="-0.2433482787405200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1AC-4005-9230-F469AC6EA2D1}"/>
                </c:ext>
              </c:extLst>
            </c:dLbl>
            <c:dLbl>
              <c:idx val="7"/>
              <c:layout>
                <c:manualLayout>
                  <c:x val="5.4894797129807743E-2"/>
                  <c:y val="-0.1766490605804112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1AC-4005-9230-F469AC6EA2D1}"/>
                </c:ext>
              </c:extLst>
            </c:dLbl>
            <c:dLbl>
              <c:idx val="8"/>
              <c:layout>
                <c:manualLayout>
                  <c:x val="2.3789141745912375E-3"/>
                  <c:y val="-5.452443379635907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1AC-4005-9230-F469AC6EA2D1}"/>
                </c:ext>
              </c:extLst>
            </c:dLbl>
            <c:dLbl>
              <c:idx val="9"/>
              <c:layout>
                <c:manualLayout>
                  <c:x val="0.11729677821011258"/>
                  <c:y val="4.353934347064164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985-4757-AD64-C53A1654E1C7}"/>
                </c:ext>
              </c:extLst>
            </c:dLbl>
            <c:dLbl>
              <c:idx val="10"/>
              <c:layout>
                <c:manualLayout>
                  <c:x val="-8.9232918362772331E-3"/>
                  <c:y val="1.974813460468759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1AC-4005-9230-F469AC6EA2D1}"/>
                </c:ext>
              </c:extLst>
            </c:dLbl>
            <c:dLbl>
              <c:idx val="11"/>
              <c:layout>
                <c:manualLayout>
                  <c:x val="-4.3265352538508668E-2"/>
                  <c:y val="-3.692178505248121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1AC-4005-9230-F469AC6EA2D1}"/>
                </c:ext>
              </c:extLst>
            </c:dLbl>
            <c:dLbl>
              <c:idx val="12"/>
              <c:layout>
                <c:manualLayout>
                  <c:x val="3.5892504490010094E-2"/>
                  <c:y val="7.324038251628088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3985-4757-AD64-C53A1654E1C7}"/>
                </c:ext>
              </c:extLst>
            </c:dLbl>
            <c:dLbl>
              <c:idx val="13"/>
              <c:layout>
                <c:manualLayout>
                  <c:x val="-8.9565278253249836E-2"/>
                  <c:y val="-4.102635416015245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1AC-4005-9230-F469AC6EA2D1}"/>
                </c:ext>
              </c:extLst>
            </c:dLbl>
            <c:dLbl>
              <c:idx val="14"/>
              <c:layout>
                <c:manualLayout>
                  <c:x val="-5.857898878813915E-2"/>
                  <c:y val="-4.134973323283622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1AC-4005-9230-F469AC6EA2D1}"/>
                </c:ext>
              </c:extLst>
            </c:dLbl>
            <c:dLbl>
              <c:idx val="15"/>
              <c:layout>
                <c:manualLayout>
                  <c:x val="-3.5210188412996626E-2"/>
                  <c:y val="-3.844775576569252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1AC-4005-9230-F469AC6EA2D1}"/>
                </c:ext>
              </c:extLst>
            </c:dLbl>
            <c:dLbl>
              <c:idx val="16"/>
              <c:layout>
                <c:manualLayout>
                  <c:x val="-2.8894693915712953E-3"/>
                  <c:y val="-6.979989171326726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1AC-4005-9230-F469AC6EA2D1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'Biblio GEOS CEP'!$L$5:$L$21</c:f>
              <c:strCache>
                <c:ptCount val="17"/>
                <c:pt idx="0">
                  <c:v>Acerbi</c:v>
                </c:pt>
                <c:pt idx="1">
                  <c:v>Barani</c:v>
                </c:pt>
                <c:pt idx="2">
                  <c:v>Boninsegna</c:v>
                </c:pt>
                <c:pt idx="3">
                  <c:v>Busquets</c:v>
                </c:pt>
                <c:pt idx="4">
                  <c:v>Boistel</c:v>
                </c:pt>
                <c:pt idx="5">
                  <c:v>Colombo</c:v>
                </c:pt>
                <c:pt idx="6">
                  <c:v>Dalmazio</c:v>
                </c:pt>
                <c:pt idx="7">
                  <c:v>Dumont</c:v>
                </c:pt>
                <c:pt idx="8">
                  <c:v>Fabregat</c:v>
                </c:pt>
                <c:pt idx="9">
                  <c:v>Figer</c:v>
                </c:pt>
                <c:pt idx="10">
                  <c:v>Le Borgne</c:v>
                </c:pt>
                <c:pt idx="11">
                  <c:v>Frangeul</c:v>
                </c:pt>
                <c:pt idx="12">
                  <c:v>Gobet</c:v>
                </c:pt>
                <c:pt idx="13">
                  <c:v>Kuchto</c:v>
                </c:pt>
                <c:pt idx="14">
                  <c:v>Klotz</c:v>
                </c:pt>
                <c:pt idx="15">
                  <c:v>Vialle</c:v>
                </c:pt>
                <c:pt idx="16">
                  <c:v>Wabnitz</c:v>
                </c:pt>
              </c:strCache>
            </c:strRef>
          </c:cat>
          <c:val>
            <c:numRef>
              <c:f>'Biblio GEOS CEP'!$M$5:$M$21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8</c:v>
                </c:pt>
                <c:pt idx="4">
                  <c:v>14</c:v>
                </c:pt>
                <c:pt idx="5">
                  <c:v>1</c:v>
                </c:pt>
                <c:pt idx="6">
                  <c:v>17</c:v>
                </c:pt>
                <c:pt idx="7">
                  <c:v>16</c:v>
                </c:pt>
                <c:pt idx="8">
                  <c:v>1</c:v>
                </c:pt>
                <c:pt idx="9">
                  <c:v>10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C-4005-9230-F469AC6EA2D1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1795096</xdr:colOff>
      <xdr:row>1</xdr:row>
      <xdr:rowOff>96431</xdr:rowOff>
    </xdr:from>
    <xdr:to>
      <xdr:col>13</xdr:col>
      <xdr:colOff>39721</xdr:colOff>
      <xdr:row>6</xdr:row>
      <xdr:rowOff>117230</xdr:rowOff>
    </xdr:to>
    <xdr:pic>
      <xdr:nvPicPr>
        <xdr:cNvPr id="2" name="Image 1" descr="Attention : travaux ! - Mairie de Jonage : Mairie de Jonage">
          <a:extLst>
            <a:ext uri="{FF2B5EF4-FFF2-40B4-BE49-F238E27FC236}">
              <a16:creationId xmlns:a16="http://schemas.microsoft.com/office/drawing/2014/main" id="{80F33B5A-EBE2-7E35-BF7D-0CBC26478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3134" y="389508"/>
          <a:ext cx="2670087" cy="1420241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133349</xdr:colOff>
      <xdr:row>0</xdr:row>
      <xdr:rowOff>258365</xdr:rowOff>
    </xdr:from>
    <xdr:to>
      <xdr:col>24</xdr:col>
      <xdr:colOff>128588</xdr:colOff>
      <xdr:row>25</xdr:row>
      <xdr:rowOff>141685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D722DF0-E6B1-EB25-756B-82B35D4BA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718168</xdr:colOff>
      <xdr:row>8</xdr:row>
      <xdr:rowOff>175486</xdr:rowOff>
    </xdr:from>
    <xdr:to>
      <xdr:col>8</xdr:col>
      <xdr:colOff>2125597</xdr:colOff>
      <xdr:row>48</xdr:row>
      <xdr:rowOff>5961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0E3FA70-6CB6-2165-31E4-83E7D6610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2168" y="1747111"/>
          <a:ext cx="5979429" cy="7450475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26F600-B82F-4EED-A43C-39E880270219}" name="Tableau3" displayName="Tableau3" ref="A9:N531" totalsRowShown="0" headerRowDxfId="23">
  <autoFilter ref="A9:N531" xr:uid="{DB26F600-B82F-4EED-A43C-39E880270219}"/>
  <sortState xmlns:xlrd2="http://schemas.microsoft.com/office/spreadsheetml/2017/richdata2" ref="A10:N531">
    <sortCondition ref="A9:A531"/>
  </sortState>
  <tableColumns count="14">
    <tableColumn id="1" xr3:uid="{23CB7058-C442-42EF-ADCC-BF6FCFBA50F1}" name="Const."/>
    <tableColumn id="2" xr3:uid="{91C4E11B-9C98-49D2-AD1C-52A497529B76}" name="N.Star"/>
    <tableColumn id="15" xr3:uid="{0890B2EF-85DF-4F73-90E5-408F6E9D6F1A}" name="flag 1"/>
    <tableColumn id="14" xr3:uid="{63C8EDDC-2038-47F8-BFD7-32AF0F7A0760}" name="Colonne2" dataDxfId="22">
      <calculatedColumnFormula>_xlfn.CONCAT(Tableau3[[#This Row],[N.Star]]," ",Tableau3[[#This Row],[Const.]])</calculatedColumnFormula>
    </tableColumn>
    <tableColumn id="3" xr3:uid="{3B1EE12D-16DD-464A-BDE0-573E6AA1964B}" name="ToM(+2400000)" dataDxfId="21"/>
    <tableColumn id="13" xr3:uid="{996A052C-207B-40F7-88AA-434674520412}" name="ToM" dataDxfId="20">
      <calculatedColumnFormula>Tableau3[[#This Row],[ToM(+2400000)]]+2400000</calculatedColumnFormula>
    </tableColumn>
    <tableColumn id="7" xr3:uid="{0950B3E2-90E1-409F-8C28-E7037BADA0CF}" name="Err. St." dataDxfId="19"/>
    <tableColumn id="4" xr3:uid="{5086430D-ECA0-486C-B121-142A2EFB1AAF}" name="Phot." dataDxfId="18"/>
    <tableColumn id="5" xr3:uid="{AB797406-B53A-4D5E-B99F-DD8EFEBC4D36}" name="Observateur"/>
    <tableColumn id="11" xr3:uid="{FC5F7A65-461C-4365-A0FD-34A88F622120}" name="source"/>
    <tableColumn id="6" xr3:uid="{DB6F1FFF-1CAC-479A-A22A-9EEE599C8C0F}" name="Author"/>
    <tableColumn id="8" xr3:uid="{474D0B11-6AD8-48AC-A7D8-EF73DDEA49B7}" name="ref. publ. "/>
    <tableColumn id="9" xr3:uid="{29B6DE1E-922F-4FA6-A39C-843BB9AD7DE9}" name="TYPE GCVS"/>
    <tableColumn id="10" xr3:uid="{518B15FB-1749-4D0E-A476-5B7710ECE8CC}" name="NOTE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7D69BA-76E4-4138-A9C6-57FF15657AE7}" name="Tableau4" displayName="Tableau4" ref="A10:I100" totalsRowShown="0">
  <autoFilter ref="A10:I100" xr:uid="{D47D69BA-76E4-4138-A9C6-57FF15657AE7}"/>
  <sortState xmlns:xlrd2="http://schemas.microsoft.com/office/spreadsheetml/2017/richdata2" ref="A11:H100">
    <sortCondition ref="A10:A100"/>
  </sortState>
  <tableColumns count="9">
    <tableColumn id="1" xr3:uid="{F1B98C3F-FFF6-432C-BDDE-B8CE67C8C17A}" name="CONST"/>
    <tableColumn id="2" xr3:uid="{B14AE91B-82ED-442A-97A3-7252C9BCA2A6}" name="ETOILE"/>
    <tableColumn id="6" xr3:uid="{8029390F-3928-4030-912C-2FE28C8592C6}" name="ETOILE NOM" dataDxfId="17">
      <calculatedColumnFormula array="1">_xlfn.CONCAT(Tableau4[[#This Row],[ETOILE]]," ",Tableau4[[#This Row],[CONST]])</calculatedColumnFormula>
    </tableColumn>
    <tableColumn id="3" xr3:uid="{FD1BE6C0-9EB4-4183-A441-553080C14808}" name="Nb de ToM" dataDxfId="16"/>
    <tableColumn id="4" xr3:uid="{9776BD7B-946E-4F4B-BF46-3DCA8C47D452}" name="Notes"/>
    <tableColumn id="5" xr3:uid="{866CB1AD-4BF8-4E97-A4EE-1A755E41E113}" name="GEOS Publi"/>
    <tableColumn id="7" xr3:uid="{17FB0EF2-5E92-4870-BB04-C7BF95A22738}" name="NB obs/étoile" dataDxfId="15">
      <calculatedColumnFormula array="1">NB</calculatedColumnFormula>
    </tableColumn>
    <tableColumn id="8" xr3:uid="{382C7F73-C8E5-40C2-BE89-CA1E8ACDE271}" name="Nb NC où étoile mentionnée"/>
    <tableColumn id="9" xr3:uid="{7292E678-F7E5-4D54-81F5-79AFCC9F589C}" name="GEOS CEPHEID DB notes (meyer's data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8293E-5F92-4402-AA12-60E52BD8A0C6}" name="Tableau1" displayName="Tableau1" ref="A4:J92" totalsRowShown="0" headerRowDxfId="14" dataDxfId="13">
  <autoFilter ref="A4:J92" xr:uid="{AB78293E-5F92-4402-AA12-60E52BD8A0C6}"/>
  <sortState xmlns:xlrd2="http://schemas.microsoft.com/office/spreadsheetml/2017/richdata2" ref="A5:J92">
    <sortCondition ref="B4:B92"/>
  </sortState>
  <tableColumns count="10">
    <tableColumn id="1" xr3:uid="{7A07AFDB-C50C-4025-A7DD-779068B4B40C}" name="auteur(s)" dataDxfId="12"/>
    <tableColumn id="2" xr3:uid="{779BF311-8AAE-4658-A85B-E2654CAED3C7}" name="année" dataDxfId="11"/>
    <tableColumn id="3" xr3:uid="{441912E2-F858-4945-9E64-492C80A7A418}" name="titre de la communication" dataDxfId="10"/>
    <tableColumn id="4" xr3:uid="{E6740360-FF4E-4248-A1B4-3C932D3357C0}" name="référence" dataDxfId="9"/>
    <tableColumn id="10" xr3:uid="{9AC62FCD-48BE-4C41-A1E7-983C8A234694}" name="n°NC" dataDxfId="8"/>
    <tableColumn id="9" xr3:uid="{4A650218-8E2F-46A4-A9BE-7A799CAC92CC}" name="SOURCE" dataDxfId="7"/>
    <tableColumn id="6" xr3:uid="{1775B158-F0D5-4E22-887C-4970C3F40B10}" name="étoiles" dataDxfId="6"/>
    <tableColumn id="7" xr3:uid="{9F8A1715-988E-4D4C-A99C-FB4335A1FD09}" name="pages" dataDxfId="5"/>
    <tableColumn id="5" xr3:uid="{C91C0302-D35B-476E-8231-30FFF14E7275}" name="DATA source" dataDxfId="4"/>
    <tableColumn id="8" xr3:uid="{A7D017CF-471B-4D34-86EC-B9746A5A623C}" name="Other links" dataDxfId="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68B2B8-29DE-418D-A023-1E4BFFF8DD84}" name="Tableau5" displayName="Tableau5" ref="L4:M21" totalsRowShown="0">
  <autoFilter ref="L4:M21" xr:uid="{0768B2B8-29DE-418D-A023-1E4BFFF8DD84}"/>
  <sortState xmlns:xlrd2="http://schemas.microsoft.com/office/spreadsheetml/2017/richdata2" ref="L5:M21">
    <sortCondition ref="L4:L21"/>
  </sortState>
  <tableColumns count="2">
    <tableColumn id="1" xr3:uid="{A20E40C4-BDBC-4CA7-AF9B-5DA11B5F2144}" name="Colonne1"/>
    <tableColumn id="2" xr3:uid="{C6DEF2DF-4EC3-4F4B-86D7-E6D4D43303C2}" name="Colonne2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CD0BAE-602F-4EE7-98B9-2AAAB36C32F8}" name="Tableau6" displayName="Tableau6" ref="J3:M47" totalsRowShown="0" headerRowDxfId="2">
  <autoFilter ref="J3:M47" xr:uid="{44CD0BAE-602F-4EE7-98B9-2AAAB36C32F8}"/>
  <tableColumns count="4">
    <tableColumn id="1" xr3:uid="{BF007B1E-A79A-4CCF-B633-D81889F43F94}" name="œil nu/J21-30"/>
    <tableColumn id="2" xr3:uid="{1E7CB18B-4B14-4E07-9DF3-B7BA1D39CD05}" name="jumelles--&gt; J100/CCD"/>
    <tableColumn id="3" xr3:uid="{20A20C40-9816-452D-B332-3EFB98ABD7B0}" name="petit telescope 130-150/CCD"/>
    <tableColumn id="4" xr3:uid="{70526DBE-AF58-4172-8EE1-744C3A9F4358}" name="Gros telescope &gt; T200/CC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B7880D-FABB-4AE4-901B-DA3F502CF8DD}" name="Tableau2" displayName="Tableau2" ref="A7:L333" totalsRowShown="0">
  <autoFilter ref="A7:L333" xr:uid="{30B7880D-FABB-4AE4-901B-DA3F502CF8DD}"/>
  <sortState xmlns:xlrd2="http://schemas.microsoft.com/office/spreadsheetml/2017/richdata2" ref="A8:L330">
    <sortCondition ref="A7:A330"/>
  </sortState>
  <tableColumns count="12">
    <tableColumn id="1" xr3:uid="{9551894A-9B2A-4E46-9178-0815E75C6B99}" name="Const"/>
    <tableColumn id="2" xr3:uid="{F845D7C6-C46F-49C5-8BD5-CA222924EC2A}" name="Nom Et."/>
    <tableColumn id="3" xr3:uid="{67DC4613-01BE-435D-9359-64FBF947D753}" name="ToM(+2400000)" dataDxfId="1"/>
    <tableColumn id="4" xr3:uid="{12C5EBCD-1615-4B08-BBBB-9300728A338F}" name="Erreur heure" dataDxfId="0"/>
    <tableColumn id="5" xr3:uid="{BDE1D708-D5E9-4706-B73A-59158A4D94D9}" name="Type/meth."/>
    <tableColumn id="6" xr3:uid="{1EB22135-66D6-4C09-9D66-B4E9F9E97BF6}" name="Observateur"/>
    <tableColumn id="7" xr3:uid="{B54B0034-B980-4202-B8BD-E99DE471623E}" name="Code Ref"/>
    <tableColumn id="8" xr3:uid="{5AC99013-F688-4533-86D3-787D50F4AE57}" name="source"/>
    <tableColumn id="9" xr3:uid="{F96A06EA-BC98-465A-AB8D-332FD70B1B12}" name="référence"/>
    <tableColumn id="10" xr3:uid="{88766DD5-D883-44FF-9B14-CF45CDE8733B}" name="TYPE GCVS"/>
    <tableColumn id="11" xr3:uid="{023894C8-48FF-4FA8-9CF2-D7C1BD43AD19}" name="NOTES"/>
    <tableColumn id="12" xr3:uid="{69E0214C-04FE-470C-8E17-A466CBC736CA}" name="Colonne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407.03730" TargetMode="External"/><Relationship Id="rId3" Type="http://schemas.openxmlformats.org/officeDocument/2006/relationships/hyperlink" Target="https://github.com/GEOS-Cepheids/SV-Vul" TargetMode="External"/><Relationship Id="rId7" Type="http://schemas.openxmlformats.org/officeDocument/2006/relationships/hyperlink" Target="https://arxiv.org/abs/1407.4961" TargetMode="External"/><Relationship Id="rId12" Type="http://schemas.openxmlformats.org/officeDocument/2006/relationships/table" Target="../tables/table4.xml"/><Relationship Id="rId2" Type="http://schemas.openxmlformats.org/officeDocument/2006/relationships/hyperlink" Target="https://arxiv.org/abs/2303.14781" TargetMode="External"/><Relationship Id="rId1" Type="http://schemas.openxmlformats.org/officeDocument/2006/relationships/hyperlink" Target="https://arxiv.org/abs/2211.16025" TargetMode="External"/><Relationship Id="rId6" Type="http://schemas.openxmlformats.org/officeDocument/2006/relationships/hyperlink" Target="https://github.com/GEOS-Cepheids/V-Lac" TargetMode="External"/><Relationship Id="rId11" Type="http://schemas.openxmlformats.org/officeDocument/2006/relationships/table" Target="../tables/table3.xml"/><Relationship Id="rId5" Type="http://schemas.openxmlformats.org/officeDocument/2006/relationships/hyperlink" Target="https://github.com/GEOS-Cepheids/RY-Cas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github.com/GEOS-Cepheids/RT-Aur" TargetMode="External"/><Relationship Id="rId9" Type="http://schemas.openxmlformats.org/officeDocument/2006/relationships/hyperlink" Target="https://github.com/GEOS-Cepheids/GEOS-bibliography-on-cepheid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hyperlink" Target="https://github.com/csogeza/O-C_extract/tree/main/Csornyei2021_dat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1583-D8CB-4260-AD06-6F510A6D46F8}">
  <dimension ref="A1:N531"/>
  <sheetViews>
    <sheetView zoomScaleNormal="100" workbookViewId="0">
      <selection activeCell="K4" sqref="K4"/>
    </sheetView>
  </sheetViews>
  <sheetFormatPr baseColWidth="10" defaultColWidth="11.42578125" defaultRowHeight="15" x14ac:dyDescent="0.25"/>
  <cols>
    <col min="1" max="1" width="9" customWidth="1"/>
    <col min="2" max="4" width="10" customWidth="1"/>
    <col min="5" max="6" width="14.7109375" style="8" customWidth="1"/>
    <col min="7" max="7" width="9.28515625" style="8" customWidth="1"/>
    <col min="8" max="8" width="10.5703125" style="14" customWidth="1"/>
    <col min="9" max="9" width="26.7109375" customWidth="1"/>
    <col min="10" max="10" width="10" customWidth="1"/>
    <col min="11" max="11" width="27.42578125" customWidth="1"/>
    <col min="12" max="12" width="20.42578125" customWidth="1"/>
    <col min="13" max="13" width="18.42578125" customWidth="1"/>
    <col min="14" max="14" width="80.42578125" customWidth="1"/>
  </cols>
  <sheetData>
    <row r="1" spans="1:14" ht="23.25" x14ac:dyDescent="0.35">
      <c r="A1" s="1" t="s">
        <v>723</v>
      </c>
      <c r="B1" s="1"/>
      <c r="C1" s="1"/>
      <c r="D1" s="1"/>
      <c r="E1" s="6" t="s">
        <v>0</v>
      </c>
      <c r="F1" s="6"/>
      <c r="G1" s="6"/>
      <c r="H1" s="13"/>
      <c r="J1" s="52"/>
      <c r="K1" s="53"/>
      <c r="L1" s="12" t="s">
        <v>1</v>
      </c>
      <c r="M1" s="12"/>
      <c r="N1" s="38"/>
    </row>
    <row r="2" spans="1:14" ht="23.25" x14ac:dyDescent="0.35">
      <c r="A2" s="1" t="s">
        <v>2</v>
      </c>
      <c r="B2" s="1"/>
      <c r="C2" s="1"/>
      <c r="D2" s="1"/>
      <c r="E2" s="6"/>
      <c r="F2" s="6"/>
      <c r="G2" s="6"/>
      <c r="H2" s="13"/>
      <c r="I2" s="38"/>
      <c r="J2" s="38"/>
      <c r="K2" s="38"/>
      <c r="L2" s="38"/>
      <c r="M2" s="38"/>
      <c r="N2" s="38"/>
    </row>
    <row r="3" spans="1:14" ht="23.25" x14ac:dyDescent="0.35">
      <c r="A3" s="1" t="s">
        <v>3</v>
      </c>
      <c r="B3" s="1"/>
      <c r="C3" s="1"/>
      <c r="D3" s="1"/>
      <c r="E3" s="6"/>
      <c r="F3" s="6"/>
      <c r="G3" s="6"/>
      <c r="H3" s="37"/>
      <c r="I3" s="38"/>
      <c r="J3" s="38"/>
      <c r="K3" s="38"/>
      <c r="L3" s="38"/>
      <c r="M3" s="38"/>
      <c r="N3" s="38"/>
    </row>
    <row r="4" spans="1:14" ht="28.5" x14ac:dyDescent="0.45">
      <c r="A4" s="78" t="s">
        <v>4</v>
      </c>
      <c r="B4" s="50"/>
      <c r="C4" s="50"/>
      <c r="D4" s="50"/>
      <c r="E4" s="77">
        <f ca="1">NOW()</f>
        <v>45781.861341319447</v>
      </c>
      <c r="F4" s="74"/>
      <c r="G4" s="51"/>
      <c r="H4" s="39"/>
      <c r="I4" s="125" t="s">
        <v>894</v>
      </c>
      <c r="J4" s="125"/>
      <c r="K4" s="38"/>
      <c r="L4" s="38"/>
      <c r="M4" s="38"/>
      <c r="N4" s="38"/>
    </row>
    <row r="5" spans="1:14" ht="21" x14ac:dyDescent="0.35">
      <c r="A5" s="15" t="s">
        <v>5</v>
      </c>
      <c r="B5" s="49">
        <f>COUNTA(E10:E556)</f>
        <v>522</v>
      </c>
      <c r="C5" s="49"/>
      <c r="D5" s="49"/>
    </row>
    <row r="6" spans="1:14" x14ac:dyDescent="0.25">
      <c r="B6" s="8"/>
      <c r="C6" s="8"/>
      <c r="D6" s="8"/>
      <c r="J6" s="9"/>
    </row>
    <row r="9" spans="1:14" ht="15.75" x14ac:dyDescent="0.25">
      <c r="A9" s="5" t="s">
        <v>6</v>
      </c>
      <c r="B9" s="5" t="s">
        <v>7</v>
      </c>
      <c r="C9" s="5" t="s">
        <v>8</v>
      </c>
      <c r="D9" s="5" t="s">
        <v>9</v>
      </c>
      <c r="E9" s="7" t="s">
        <v>10</v>
      </c>
      <c r="F9" s="7" t="s">
        <v>11</v>
      </c>
      <c r="G9" s="7" t="s">
        <v>12</v>
      </c>
      <c r="H9" s="5" t="s">
        <v>13</v>
      </c>
      <c r="I9" s="5" t="s">
        <v>14</v>
      </c>
      <c r="J9" s="5" t="s">
        <v>15</v>
      </c>
      <c r="K9" s="5" t="s">
        <v>16</v>
      </c>
      <c r="L9" s="5" t="s">
        <v>17</v>
      </c>
      <c r="M9" s="5" t="s">
        <v>18</v>
      </c>
      <c r="N9" s="5" t="s">
        <v>19</v>
      </c>
    </row>
    <row r="10" spans="1:14" x14ac:dyDescent="0.25">
      <c r="A10" t="s">
        <v>21</v>
      </c>
      <c r="B10" t="s">
        <v>22</v>
      </c>
      <c r="C10" t="s">
        <v>23</v>
      </c>
      <c r="D10" t="str">
        <f>_xlfn.CONCAT(Tableau3[[#This Row],[N.Star]]," ",Tableau3[[#This Row],[Const.]])</f>
        <v>DQ And</v>
      </c>
      <c r="E10" s="8">
        <v>47868.195</v>
      </c>
      <c r="F10" s="8">
        <f>Tableau3[[#This Row],[ToM(+2400000)]]+2400000</f>
        <v>2447868.1949999998</v>
      </c>
      <c r="G10" s="34">
        <v>0.16</v>
      </c>
      <c r="H10" s="3" t="s">
        <v>24</v>
      </c>
      <c r="I10" t="s">
        <v>25</v>
      </c>
      <c r="J10" t="s">
        <v>26</v>
      </c>
      <c r="K10" t="s">
        <v>27</v>
      </c>
      <c r="L10" t="s">
        <v>28</v>
      </c>
      <c r="N10" t="s">
        <v>28</v>
      </c>
    </row>
    <row r="11" spans="1:14" x14ac:dyDescent="0.25">
      <c r="A11" s="73" t="s">
        <v>29</v>
      </c>
      <c r="B11" s="73" t="s">
        <v>30</v>
      </c>
      <c r="C11" s="73" t="s">
        <v>23</v>
      </c>
      <c r="D11" s="73" t="str">
        <f>_xlfn.CONCAT(Tableau3[[#This Row],[N.Star]]," ",Tableau3[[#This Row],[Const.]])</f>
        <v>ETA Aql</v>
      </c>
      <c r="E11" s="100">
        <v>42637.06</v>
      </c>
      <c r="F11" s="100">
        <f>Tableau3[[#This Row],[ToM(+2400000)]]+2400000</f>
        <v>2442637.06</v>
      </c>
      <c r="G11" s="101">
        <v>0.15</v>
      </c>
      <c r="H11" s="102" t="s">
        <v>24</v>
      </c>
      <c r="I11" s="73" t="s">
        <v>31</v>
      </c>
      <c r="J11" s="73" t="s">
        <v>26</v>
      </c>
      <c r="K11" s="73" t="s">
        <v>32</v>
      </c>
      <c r="L11" s="73" t="s">
        <v>33</v>
      </c>
      <c r="M11" s="73"/>
      <c r="N11" s="73" t="s">
        <v>34</v>
      </c>
    </row>
    <row r="12" spans="1:14" x14ac:dyDescent="0.25">
      <c r="A12" s="73" t="s">
        <v>29</v>
      </c>
      <c r="B12" s="73" t="s">
        <v>30</v>
      </c>
      <c r="C12" s="73" t="s">
        <v>23</v>
      </c>
      <c r="D12" s="73" t="str">
        <f>_xlfn.CONCAT(Tableau3[[#This Row],[N.Star]]," ",Tableau3[[#This Row],[Const.]])</f>
        <v>ETA Aql</v>
      </c>
      <c r="E12" s="100">
        <v>42658.46</v>
      </c>
      <c r="F12" s="100">
        <f>Tableau3[[#This Row],[ToM(+2400000)]]+2400000</f>
        <v>2442658.46</v>
      </c>
      <c r="G12" s="101">
        <v>0.15</v>
      </c>
      <c r="H12" s="102" t="s">
        <v>24</v>
      </c>
      <c r="I12" s="73" t="s">
        <v>35</v>
      </c>
      <c r="J12" s="73" t="s">
        <v>26</v>
      </c>
      <c r="K12" s="73" t="s">
        <v>32</v>
      </c>
      <c r="L12" s="73" t="s">
        <v>36</v>
      </c>
      <c r="M12" s="73"/>
      <c r="N12" s="73" t="s">
        <v>34</v>
      </c>
    </row>
    <row r="13" spans="1:14" x14ac:dyDescent="0.25">
      <c r="A13" s="73" t="s">
        <v>29</v>
      </c>
      <c r="B13" s="73" t="s">
        <v>30</v>
      </c>
      <c r="C13" s="73" t="s">
        <v>23</v>
      </c>
      <c r="D13" s="73" t="str">
        <f>_xlfn.CONCAT(Tableau3[[#This Row],[N.Star]]," ",Tableau3[[#This Row],[Const.]])</f>
        <v>ETA Aql</v>
      </c>
      <c r="E13" s="100">
        <v>42680.13</v>
      </c>
      <c r="F13" s="100">
        <f>Tableau3[[#This Row],[ToM(+2400000)]]+2400000</f>
        <v>2442680.13</v>
      </c>
      <c r="G13" s="101">
        <v>0.15</v>
      </c>
      <c r="H13" s="102" t="s">
        <v>24</v>
      </c>
      <c r="I13" s="73" t="s">
        <v>37</v>
      </c>
      <c r="J13" s="73" t="s">
        <v>26</v>
      </c>
      <c r="K13" s="73" t="s">
        <v>32</v>
      </c>
      <c r="L13" s="73" t="s">
        <v>33</v>
      </c>
      <c r="M13" s="73"/>
      <c r="N13" s="73" t="s">
        <v>34</v>
      </c>
    </row>
    <row r="14" spans="1:14" x14ac:dyDescent="0.25">
      <c r="A14" s="73" t="s">
        <v>29</v>
      </c>
      <c r="B14" s="73" t="s">
        <v>30</v>
      </c>
      <c r="C14" s="73" t="s">
        <v>23</v>
      </c>
      <c r="D14" s="73" t="str">
        <f>_xlfn.CONCAT(Tableau3[[#This Row],[N.Star]]," ",Tableau3[[#This Row],[Const.]])</f>
        <v>ETA Aql</v>
      </c>
      <c r="E14" s="100">
        <v>43003.15</v>
      </c>
      <c r="F14" s="100">
        <f>Tableau3[[#This Row],[ToM(+2400000)]]+2400000</f>
        <v>2443003.15</v>
      </c>
      <c r="G14" s="101">
        <v>0.25</v>
      </c>
      <c r="H14" s="102" t="s">
        <v>24</v>
      </c>
      <c r="I14" s="73" t="s">
        <v>38</v>
      </c>
      <c r="J14" s="73" t="s">
        <v>26</v>
      </c>
      <c r="K14" s="73" t="s">
        <v>27</v>
      </c>
      <c r="L14" s="73" t="s">
        <v>27</v>
      </c>
      <c r="M14" s="73"/>
      <c r="N14" s="73" t="s">
        <v>39</v>
      </c>
    </row>
    <row r="15" spans="1:14" x14ac:dyDescent="0.25">
      <c r="A15" s="73" t="s">
        <v>29</v>
      </c>
      <c r="B15" s="73" t="s">
        <v>30</v>
      </c>
      <c r="C15" s="73" t="s">
        <v>23</v>
      </c>
      <c r="D15" s="73" t="str">
        <f>_xlfn.CONCAT(Tableau3[[#This Row],[N.Star]]," ",Tableau3[[#This Row],[Const.]])</f>
        <v>ETA Aql</v>
      </c>
      <c r="E15" s="100">
        <v>43017.506999999998</v>
      </c>
      <c r="F15" s="100">
        <f>Tableau3[[#This Row],[ToM(+2400000)]]+2400000</f>
        <v>2443017.5070000002</v>
      </c>
      <c r="G15" s="101">
        <v>0.15</v>
      </c>
      <c r="H15" s="102" t="s">
        <v>24</v>
      </c>
      <c r="I15" s="73" t="s">
        <v>37</v>
      </c>
      <c r="J15" s="73" t="s">
        <v>26</v>
      </c>
      <c r="K15" s="73" t="s">
        <v>40</v>
      </c>
      <c r="L15" s="73" t="s">
        <v>41</v>
      </c>
      <c r="M15" s="73"/>
      <c r="N15" s="73"/>
    </row>
    <row r="16" spans="1:14" x14ac:dyDescent="0.25">
      <c r="A16" s="73" t="s">
        <v>29</v>
      </c>
      <c r="B16" s="73" t="s">
        <v>30</v>
      </c>
      <c r="C16" s="73" t="s">
        <v>23</v>
      </c>
      <c r="D16" s="73" t="str">
        <f>_xlfn.CONCAT(Tableau3[[#This Row],[N.Star]]," ",Tableau3[[#This Row],[Const.]])</f>
        <v>ETA Aql</v>
      </c>
      <c r="E16" s="100">
        <v>43362.271000000001</v>
      </c>
      <c r="F16" s="100">
        <f>Tableau3[[#This Row],[ToM(+2400000)]]+2400000</f>
        <v>2443362.2710000002</v>
      </c>
      <c r="G16" s="101">
        <v>0.15</v>
      </c>
      <c r="H16" s="102" t="s">
        <v>24</v>
      </c>
      <c r="I16" s="73" t="s">
        <v>42</v>
      </c>
      <c r="J16" s="73" t="s">
        <v>26</v>
      </c>
      <c r="K16" s="73" t="s">
        <v>43</v>
      </c>
      <c r="L16" s="73" t="s">
        <v>44</v>
      </c>
      <c r="M16" s="73"/>
      <c r="N16" s="73"/>
    </row>
    <row r="17" spans="1:14" x14ac:dyDescent="0.25">
      <c r="A17" s="73" t="s">
        <v>29</v>
      </c>
      <c r="B17" s="73" t="s">
        <v>30</v>
      </c>
      <c r="C17" s="73" t="s">
        <v>23</v>
      </c>
      <c r="D17" s="73" t="str">
        <f>_xlfn.CONCAT(Tableau3[[#This Row],[N.Star]]," ",Tableau3[[#This Row],[Const.]])</f>
        <v>ETA Aql</v>
      </c>
      <c r="E17" s="100">
        <v>43383.478999999999</v>
      </c>
      <c r="F17" s="100">
        <f>Tableau3[[#This Row],[ToM(+2400000)]]+2400000</f>
        <v>2443383.4789999998</v>
      </c>
      <c r="G17" s="101">
        <v>0.15</v>
      </c>
      <c r="H17" s="102" t="s">
        <v>24</v>
      </c>
      <c r="I17" s="73" t="s">
        <v>45</v>
      </c>
      <c r="J17" s="73" t="s">
        <v>26</v>
      </c>
      <c r="K17" s="73" t="s">
        <v>43</v>
      </c>
      <c r="L17" s="73" t="s">
        <v>44</v>
      </c>
      <c r="M17" s="73"/>
      <c r="N17" s="73"/>
    </row>
    <row r="18" spans="1:14" x14ac:dyDescent="0.25">
      <c r="A18" s="73" t="s">
        <v>29</v>
      </c>
      <c r="B18" s="73" t="s">
        <v>30</v>
      </c>
      <c r="C18" s="73" t="s">
        <v>23</v>
      </c>
      <c r="D18" s="73" t="str">
        <f>_xlfn.CONCAT(Tableau3[[#This Row],[N.Star]]," ",Tableau3[[#This Row],[Const.]])</f>
        <v>ETA Aql</v>
      </c>
      <c r="E18" s="100">
        <v>43390.764000000003</v>
      </c>
      <c r="F18" s="100">
        <f>Tableau3[[#This Row],[ToM(+2400000)]]+2400000</f>
        <v>2443390.764</v>
      </c>
      <c r="G18" s="101">
        <v>0.15</v>
      </c>
      <c r="H18" s="102" t="s">
        <v>24</v>
      </c>
      <c r="I18" s="73" t="s">
        <v>46</v>
      </c>
      <c r="J18" s="73" t="s">
        <v>26</v>
      </c>
      <c r="K18" s="73" t="s">
        <v>43</v>
      </c>
      <c r="L18" s="73" t="s">
        <v>44</v>
      </c>
      <c r="M18" s="73"/>
      <c r="N18" s="73"/>
    </row>
    <row r="19" spans="1:14" x14ac:dyDescent="0.25">
      <c r="A19" s="73" t="s">
        <v>29</v>
      </c>
      <c r="B19" s="73" t="s">
        <v>30</v>
      </c>
      <c r="C19" s="73" t="s">
        <v>23</v>
      </c>
      <c r="D19" s="73" t="str">
        <f>_xlfn.CONCAT(Tableau3[[#This Row],[N.Star]]," ",Tableau3[[#This Row],[Const.]])</f>
        <v>ETA Aql</v>
      </c>
      <c r="E19" s="100">
        <v>43398.01</v>
      </c>
      <c r="F19" s="100">
        <f>Tableau3[[#This Row],[ToM(+2400000)]]+2400000</f>
        <v>2443398.0099999998</v>
      </c>
      <c r="G19" s="101">
        <v>0.15</v>
      </c>
      <c r="H19" s="102" t="s">
        <v>24</v>
      </c>
      <c r="I19" s="73" t="s">
        <v>47</v>
      </c>
      <c r="J19" s="73" t="s">
        <v>26</v>
      </c>
      <c r="K19" s="73" t="s">
        <v>43</v>
      </c>
      <c r="L19" s="73" t="s">
        <v>44</v>
      </c>
      <c r="M19" s="73"/>
      <c r="N19" s="73"/>
    </row>
    <row r="20" spans="1:14" x14ac:dyDescent="0.25">
      <c r="A20" s="73" t="s">
        <v>29</v>
      </c>
      <c r="B20" s="73" t="s">
        <v>30</v>
      </c>
      <c r="C20" s="73" t="s">
        <v>23</v>
      </c>
      <c r="D20" s="73" t="str">
        <f>_xlfn.CONCAT(Tableau3[[#This Row],[N.Star]]," ",Tableau3[[#This Row],[Const.]])</f>
        <v>ETA Aql</v>
      </c>
      <c r="E20" s="100">
        <v>43404.650999999998</v>
      </c>
      <c r="F20" s="100">
        <f>Tableau3[[#This Row],[ToM(+2400000)]]+2400000</f>
        <v>2443404.6510000001</v>
      </c>
      <c r="G20" s="101">
        <v>0.15</v>
      </c>
      <c r="H20" s="102" t="s">
        <v>24</v>
      </c>
      <c r="I20" s="73" t="s">
        <v>37</v>
      </c>
      <c r="J20" s="73" t="s">
        <v>26</v>
      </c>
      <c r="K20" s="73" t="s">
        <v>43</v>
      </c>
      <c r="L20" s="73" t="s">
        <v>44</v>
      </c>
      <c r="M20" s="73"/>
      <c r="N20" s="73"/>
    </row>
    <row r="21" spans="1:14" x14ac:dyDescent="0.25">
      <c r="A21" s="73" t="s">
        <v>29</v>
      </c>
      <c r="B21" s="73" t="s">
        <v>30</v>
      </c>
      <c r="C21" s="73" t="s">
        <v>23</v>
      </c>
      <c r="D21" s="73" t="str">
        <f>_xlfn.CONCAT(Tableau3[[#This Row],[N.Star]]," ",Tableau3[[#This Row],[Const.]])</f>
        <v>ETA Aql</v>
      </c>
      <c r="E21" s="100">
        <v>44301.995999999999</v>
      </c>
      <c r="F21" s="100">
        <f>Tableau3[[#This Row],[ToM(+2400000)]]+2400000</f>
        <v>2444301.9959999998</v>
      </c>
      <c r="G21" s="101">
        <v>0.05</v>
      </c>
      <c r="H21" s="102" t="s">
        <v>24</v>
      </c>
      <c r="I21" s="73" t="s">
        <v>25</v>
      </c>
      <c r="J21" s="73" t="s">
        <v>26</v>
      </c>
      <c r="K21" s="73" t="s">
        <v>27</v>
      </c>
      <c r="L21" s="73" t="s">
        <v>27</v>
      </c>
      <c r="M21" s="73"/>
      <c r="N21" s="73" t="s">
        <v>39</v>
      </c>
    </row>
    <row r="22" spans="1:14" x14ac:dyDescent="0.25">
      <c r="A22" s="73" t="s">
        <v>29</v>
      </c>
      <c r="B22" s="73" t="s">
        <v>30</v>
      </c>
      <c r="C22" s="73" t="s">
        <v>23</v>
      </c>
      <c r="D22" s="73" t="str">
        <f>_xlfn.CONCAT(Tableau3[[#This Row],[N.Star]]," ",Tableau3[[#This Row],[Const.]])</f>
        <v>ETA Aql</v>
      </c>
      <c r="E22" s="100">
        <v>45220.84</v>
      </c>
      <c r="F22" s="100">
        <f>Tableau3[[#This Row],[ToM(+2400000)]]+2400000</f>
        <v>2445220.84</v>
      </c>
      <c r="G22" s="101">
        <v>7.0000000000000007E-2</v>
      </c>
      <c r="H22" s="102" t="s">
        <v>24</v>
      </c>
      <c r="I22" s="73" t="s">
        <v>25</v>
      </c>
      <c r="J22" s="73" t="s">
        <v>26</v>
      </c>
      <c r="K22" s="73" t="s">
        <v>27</v>
      </c>
      <c r="L22" s="73" t="s">
        <v>27</v>
      </c>
      <c r="M22" s="73"/>
      <c r="N22" s="73" t="s">
        <v>39</v>
      </c>
    </row>
    <row r="23" spans="1:14" x14ac:dyDescent="0.25">
      <c r="A23" s="73" t="s">
        <v>29</v>
      </c>
      <c r="B23" s="73" t="s">
        <v>30</v>
      </c>
      <c r="C23" s="73" t="s">
        <v>23</v>
      </c>
      <c r="D23" s="73" t="str">
        <f>_xlfn.CONCAT(Tableau3[[#This Row],[N.Star]]," ",Tableau3[[#This Row],[Const.]])</f>
        <v>ETA Aql</v>
      </c>
      <c r="E23" s="100">
        <v>48106.17</v>
      </c>
      <c r="F23" s="100">
        <f>Tableau3[[#This Row],[ToM(+2400000)]]+2400000</f>
        <v>2448106.17</v>
      </c>
      <c r="G23" s="101">
        <v>7.0000000000000007E-2</v>
      </c>
      <c r="H23" s="102" t="s">
        <v>24</v>
      </c>
      <c r="I23" s="73" t="s">
        <v>48</v>
      </c>
      <c r="J23" s="73" t="s">
        <v>26</v>
      </c>
      <c r="K23" s="73" t="s">
        <v>49</v>
      </c>
      <c r="L23" s="73" t="s">
        <v>50</v>
      </c>
      <c r="M23" s="73"/>
      <c r="N23" s="73"/>
    </row>
    <row r="24" spans="1:14" x14ac:dyDescent="0.25">
      <c r="A24" s="54" t="s">
        <v>29</v>
      </c>
      <c r="B24" s="54" t="s">
        <v>51</v>
      </c>
      <c r="C24" s="54" t="s">
        <v>23</v>
      </c>
      <c r="D24" s="54" t="str">
        <f>_xlfn.CONCAT(Tableau3[[#This Row],[N.Star]]," ",Tableau3[[#This Row],[Const.]])</f>
        <v>FF Aql</v>
      </c>
      <c r="E24" s="57">
        <v>43391.95</v>
      </c>
      <c r="F24" s="57">
        <f>Tableau3[[#This Row],[ToM(+2400000)]]+2400000</f>
        <v>2443391.9500000002</v>
      </c>
      <c r="G24" s="55">
        <v>0.15</v>
      </c>
      <c r="H24" s="56" t="s">
        <v>24</v>
      </c>
      <c r="I24" s="54" t="s">
        <v>47</v>
      </c>
      <c r="J24" s="54" t="s">
        <v>26</v>
      </c>
      <c r="K24" s="54" t="s">
        <v>52</v>
      </c>
      <c r="L24" s="54" t="s">
        <v>53</v>
      </c>
      <c r="M24" s="54"/>
      <c r="N24" s="54"/>
    </row>
    <row r="25" spans="1:14" x14ac:dyDescent="0.25">
      <c r="A25" s="54" t="s">
        <v>29</v>
      </c>
      <c r="B25" s="54" t="s">
        <v>51</v>
      </c>
      <c r="C25" s="54" t="s">
        <v>23</v>
      </c>
      <c r="D25" s="54" t="str">
        <f>_xlfn.CONCAT(Tableau3[[#This Row],[N.Star]]," ",Tableau3[[#This Row],[Const.]])</f>
        <v>FF Aql</v>
      </c>
      <c r="E25" s="57">
        <v>43396.74</v>
      </c>
      <c r="F25" s="57">
        <f>Tableau3[[#This Row],[ToM(+2400000)]]+2400000</f>
        <v>2443396.7400000002</v>
      </c>
      <c r="G25" s="55">
        <v>0.15</v>
      </c>
      <c r="H25" s="56" t="s">
        <v>24</v>
      </c>
      <c r="I25" s="54" t="s">
        <v>45</v>
      </c>
      <c r="J25" s="54" t="s">
        <v>26</v>
      </c>
      <c r="K25" s="54" t="s">
        <v>52</v>
      </c>
      <c r="L25" s="54" t="s">
        <v>53</v>
      </c>
      <c r="M25" s="54"/>
      <c r="N25" s="54"/>
    </row>
    <row r="26" spans="1:14" x14ac:dyDescent="0.25">
      <c r="A26" s="54" t="s">
        <v>29</v>
      </c>
      <c r="B26" s="54" t="s">
        <v>51</v>
      </c>
      <c r="C26" s="54" t="s">
        <v>23</v>
      </c>
      <c r="D26" s="54" t="str">
        <f>_xlfn.CONCAT(Tableau3[[#This Row],[N.Star]]," ",Tableau3[[#This Row],[Const.]])</f>
        <v>FF Aql</v>
      </c>
      <c r="E26" s="57">
        <v>43418.417000000001</v>
      </c>
      <c r="F26" s="57">
        <f>Tableau3[[#This Row],[ToM(+2400000)]]+2400000</f>
        <v>2443418.4169999999</v>
      </c>
      <c r="G26" s="55">
        <v>0.15</v>
      </c>
      <c r="H26" s="56" t="s">
        <v>24</v>
      </c>
      <c r="I26" s="54" t="s">
        <v>54</v>
      </c>
      <c r="J26" s="54" t="s">
        <v>26</v>
      </c>
      <c r="K26" s="54" t="s">
        <v>43</v>
      </c>
      <c r="L26" s="54" t="s">
        <v>44</v>
      </c>
      <c r="M26" s="54"/>
      <c r="N26" s="54"/>
    </row>
    <row r="27" spans="1:14" x14ac:dyDescent="0.25">
      <c r="A27" s="54" t="s">
        <v>29</v>
      </c>
      <c r="B27" s="54" t="s">
        <v>51</v>
      </c>
      <c r="C27" s="54" t="s">
        <v>23</v>
      </c>
      <c r="D27" s="54" t="str">
        <f>_xlfn.CONCAT(Tableau3[[#This Row],[N.Star]]," ",Tableau3[[#This Row],[Const.]])</f>
        <v>FF Aql</v>
      </c>
      <c r="E27" s="57">
        <v>43592.79</v>
      </c>
      <c r="F27" s="57">
        <f>Tableau3[[#This Row],[ToM(+2400000)]]+2400000</f>
        <v>2443592.79</v>
      </c>
      <c r="G27" s="55">
        <v>0.15</v>
      </c>
      <c r="H27" s="56" t="s">
        <v>24</v>
      </c>
      <c r="I27" s="54" t="s">
        <v>55</v>
      </c>
      <c r="J27" s="54" t="s">
        <v>26</v>
      </c>
      <c r="K27" s="54" t="s">
        <v>43</v>
      </c>
      <c r="L27" s="54" t="s">
        <v>44</v>
      </c>
      <c r="M27" s="54"/>
      <c r="N27" s="54"/>
    </row>
    <row r="28" spans="1:14" x14ac:dyDescent="0.25">
      <c r="A28" s="54" t="s">
        <v>29</v>
      </c>
      <c r="B28" s="54" t="s">
        <v>51</v>
      </c>
      <c r="C28" s="54" t="s">
        <v>23</v>
      </c>
      <c r="D28" s="54" t="str">
        <f>_xlfn.CONCAT(Tableau3[[#This Row],[N.Star]]," ",Tableau3[[#This Row],[Const.]])</f>
        <v>FF Aql</v>
      </c>
      <c r="E28" s="57">
        <v>45234.04</v>
      </c>
      <c r="F28" s="57">
        <f>Tableau3[[#This Row],[ToM(+2400000)]]+2400000</f>
        <v>2445234.04</v>
      </c>
      <c r="G28" s="55">
        <v>0.18</v>
      </c>
      <c r="H28" s="56" t="s">
        <v>24</v>
      </c>
      <c r="I28" s="54" t="s">
        <v>56</v>
      </c>
      <c r="J28" s="54" t="s">
        <v>26</v>
      </c>
      <c r="K28" s="54" t="s">
        <v>57</v>
      </c>
      <c r="L28" s="54" t="s">
        <v>58</v>
      </c>
      <c r="M28" s="54"/>
      <c r="N28" s="54"/>
    </row>
    <row r="29" spans="1:14" x14ac:dyDescent="0.25">
      <c r="A29" s="54" t="s">
        <v>29</v>
      </c>
      <c r="B29" s="54" t="s">
        <v>51</v>
      </c>
      <c r="C29" s="54" t="s">
        <v>23</v>
      </c>
      <c r="D29" s="54" t="str">
        <f>_xlfn.CONCAT(Tableau3[[#This Row],[N.Star]]," ",Tableau3[[#This Row],[Const.]])</f>
        <v>FF Aql</v>
      </c>
      <c r="E29" s="57">
        <v>45573.785000000003</v>
      </c>
      <c r="F29" s="57">
        <f>Tableau3[[#This Row],[ToM(+2400000)]]+2400000</f>
        <v>2445573.7850000001</v>
      </c>
      <c r="G29" s="55">
        <v>0.27</v>
      </c>
      <c r="H29" s="56" t="s">
        <v>24</v>
      </c>
      <c r="I29" s="54" t="s">
        <v>56</v>
      </c>
      <c r="J29" s="54" t="s">
        <v>26</v>
      </c>
      <c r="K29" s="54" t="s">
        <v>57</v>
      </c>
      <c r="L29" s="54" t="s">
        <v>59</v>
      </c>
      <c r="M29" s="54"/>
      <c r="N29" s="54"/>
    </row>
    <row r="30" spans="1:14" x14ac:dyDescent="0.25">
      <c r="A30" s="54" t="s">
        <v>29</v>
      </c>
      <c r="B30" s="54" t="s">
        <v>51</v>
      </c>
      <c r="C30" s="54" t="s">
        <v>23</v>
      </c>
      <c r="D30" s="54" t="str">
        <f>_xlfn.CONCAT(Tableau3[[#This Row],[N.Star]]," ",Tableau3[[#This Row],[Const.]])</f>
        <v>FF Aql</v>
      </c>
      <c r="E30" s="57">
        <v>46109.9</v>
      </c>
      <c r="F30" s="57">
        <f>Tableau3[[#This Row],[ToM(+2400000)]]+2400000</f>
        <v>2446109.9</v>
      </c>
      <c r="G30" s="55">
        <v>0.13</v>
      </c>
      <c r="H30" s="56" t="s">
        <v>24</v>
      </c>
      <c r="I30" s="54" t="s">
        <v>56</v>
      </c>
      <c r="J30" s="54" t="s">
        <v>26</v>
      </c>
      <c r="K30" s="54" t="s">
        <v>57</v>
      </c>
      <c r="L30" s="54" t="s">
        <v>59</v>
      </c>
      <c r="M30" s="54"/>
      <c r="N30" s="54"/>
    </row>
    <row r="31" spans="1:14" x14ac:dyDescent="0.25">
      <c r="A31" s="54" t="s">
        <v>29</v>
      </c>
      <c r="B31" s="54" t="s">
        <v>51</v>
      </c>
      <c r="C31" s="54" t="s">
        <v>23</v>
      </c>
      <c r="D31" s="54" t="str">
        <f>_xlfn.CONCAT(Tableau3[[#This Row],[N.Star]]," ",Tableau3[[#This Row],[Const.]])</f>
        <v>FF Aql</v>
      </c>
      <c r="E31" s="57">
        <v>46624.05</v>
      </c>
      <c r="F31" s="57">
        <f>Tableau3[[#This Row],[ToM(+2400000)]]+2400000</f>
        <v>2446624.0499999998</v>
      </c>
      <c r="G31" s="55">
        <v>0.13</v>
      </c>
      <c r="H31" s="56" t="s">
        <v>24</v>
      </c>
      <c r="I31" s="54" t="s">
        <v>56</v>
      </c>
      <c r="J31" s="54" t="s">
        <v>26</v>
      </c>
      <c r="K31" s="54" t="s">
        <v>57</v>
      </c>
      <c r="L31" s="54" t="s">
        <v>59</v>
      </c>
      <c r="M31" s="54"/>
      <c r="N31" s="54"/>
    </row>
    <row r="32" spans="1:14" x14ac:dyDescent="0.25">
      <c r="A32" s="54" t="s">
        <v>29</v>
      </c>
      <c r="B32" s="54" t="s">
        <v>51</v>
      </c>
      <c r="C32" s="54" t="s">
        <v>23</v>
      </c>
      <c r="D32" s="54" t="str">
        <f>_xlfn.CONCAT(Tableau3[[#This Row],[N.Star]]," ",Tableau3[[#This Row],[Const.]])</f>
        <v>FF Aql</v>
      </c>
      <c r="E32" s="57">
        <v>47017.440000000002</v>
      </c>
      <c r="F32" s="57">
        <f>Tableau3[[#This Row],[ToM(+2400000)]]+2400000</f>
        <v>2447017.44</v>
      </c>
      <c r="G32" s="55">
        <v>0.22</v>
      </c>
      <c r="H32" s="56" t="s">
        <v>24</v>
      </c>
      <c r="I32" s="54" t="s">
        <v>56</v>
      </c>
      <c r="J32" s="54" t="s">
        <v>26</v>
      </c>
      <c r="K32" s="54" t="s">
        <v>49</v>
      </c>
      <c r="L32" s="54" t="s">
        <v>60</v>
      </c>
      <c r="M32" s="54"/>
      <c r="N32" s="54"/>
    </row>
    <row r="33" spans="1:14" x14ac:dyDescent="0.25">
      <c r="A33" s="54" t="s">
        <v>29</v>
      </c>
      <c r="B33" s="54" t="s">
        <v>51</v>
      </c>
      <c r="C33" s="54" t="s">
        <v>23</v>
      </c>
      <c r="D33" s="54" t="str">
        <f>_xlfn.CONCAT(Tableau3[[#This Row],[N.Star]]," ",Tableau3[[#This Row],[Const.]])</f>
        <v>FF Aql</v>
      </c>
      <c r="E33" s="57">
        <v>47406.5</v>
      </c>
      <c r="F33" s="57">
        <f>Tableau3[[#This Row],[ToM(+2400000)]]+2400000</f>
        <v>2447406.5</v>
      </c>
      <c r="G33" s="55">
        <v>0.17</v>
      </c>
      <c r="H33" s="56" t="s">
        <v>24</v>
      </c>
      <c r="I33" s="54" t="s">
        <v>61</v>
      </c>
      <c r="J33" s="54" t="s">
        <v>26</v>
      </c>
      <c r="K33" s="54" t="s">
        <v>62</v>
      </c>
      <c r="L33" s="54" t="s">
        <v>63</v>
      </c>
      <c r="M33" s="54"/>
      <c r="N33" s="54"/>
    </row>
    <row r="34" spans="1:14" x14ac:dyDescent="0.25">
      <c r="A34" s="54" t="s">
        <v>29</v>
      </c>
      <c r="B34" s="54" t="s">
        <v>51</v>
      </c>
      <c r="C34" s="54" t="s">
        <v>23</v>
      </c>
      <c r="D34" s="54" t="str">
        <f>_xlfn.CONCAT(Tableau3[[#This Row],[N.Star]]," ",Tableau3[[#This Row],[Const.]])</f>
        <v>FF Aql</v>
      </c>
      <c r="E34" s="57">
        <v>47755.37</v>
      </c>
      <c r="F34" s="57">
        <f>Tableau3[[#This Row],[ToM(+2400000)]]+2400000</f>
        <v>2447755.37</v>
      </c>
      <c r="G34" s="55">
        <v>0.09</v>
      </c>
      <c r="H34" s="56" t="s">
        <v>24</v>
      </c>
      <c r="I34" s="54" t="s">
        <v>56</v>
      </c>
      <c r="J34" s="54" t="s">
        <v>26</v>
      </c>
      <c r="K34" s="54" t="s">
        <v>49</v>
      </c>
      <c r="L34" s="54" t="s">
        <v>64</v>
      </c>
      <c r="M34" s="54"/>
      <c r="N34" s="54"/>
    </row>
    <row r="35" spans="1:14" x14ac:dyDescent="0.25">
      <c r="A35" s="54" t="s">
        <v>29</v>
      </c>
      <c r="B35" s="54" t="s">
        <v>51</v>
      </c>
      <c r="C35" s="54" t="s">
        <v>23</v>
      </c>
      <c r="D35" s="54" t="str">
        <f>_xlfn.CONCAT(Tableau3[[#This Row],[N.Star]]," ",Tableau3[[#This Row],[Const.]])</f>
        <v>FF Aql</v>
      </c>
      <c r="E35" s="57">
        <v>48122.07</v>
      </c>
      <c r="F35" s="57">
        <f>Tableau3[[#This Row],[ToM(+2400000)]]+2400000</f>
        <v>2448122.0699999998</v>
      </c>
      <c r="G35" s="55">
        <v>0.22</v>
      </c>
      <c r="H35" s="56" t="s">
        <v>24</v>
      </c>
      <c r="I35" s="54" t="s">
        <v>56</v>
      </c>
      <c r="J35" s="54" t="s">
        <v>26</v>
      </c>
      <c r="K35" s="54" t="s">
        <v>49</v>
      </c>
      <c r="L35" s="54" t="s">
        <v>50</v>
      </c>
      <c r="M35" s="54"/>
      <c r="N35" s="54"/>
    </row>
    <row r="36" spans="1:14" x14ac:dyDescent="0.25">
      <c r="A36" t="s">
        <v>29</v>
      </c>
      <c r="B36" t="s">
        <v>65</v>
      </c>
      <c r="C36" t="s">
        <v>23</v>
      </c>
      <c r="D36" t="str">
        <f>_xlfn.CONCAT(Tableau3[[#This Row],[N.Star]]," ",Tableau3[[#This Row],[Const.]])</f>
        <v>FN Aql</v>
      </c>
      <c r="E36" s="8">
        <v>43707.02</v>
      </c>
      <c r="F36" s="8">
        <f>Tableau3[[#This Row],[ToM(+2400000)]]+2400000</f>
        <v>2443707.02</v>
      </c>
      <c r="G36" s="34">
        <v>0.15</v>
      </c>
      <c r="H36" s="3" t="s">
        <v>24</v>
      </c>
      <c r="I36" t="s">
        <v>66</v>
      </c>
      <c r="J36" t="s">
        <v>26</v>
      </c>
      <c r="K36" t="s">
        <v>43</v>
      </c>
      <c r="L36" t="s">
        <v>44</v>
      </c>
    </row>
    <row r="37" spans="1:14" x14ac:dyDescent="0.25">
      <c r="A37" t="s">
        <v>29</v>
      </c>
      <c r="B37" t="s">
        <v>67</v>
      </c>
      <c r="C37" t="s">
        <v>23</v>
      </c>
      <c r="D37" t="str">
        <f>_xlfn.CONCAT(Tableau3[[#This Row],[N.Star]]," ",Tableau3[[#This Row],[Const.]])</f>
        <v>SZ Aql</v>
      </c>
      <c r="E37" s="8">
        <v>47887.45</v>
      </c>
      <c r="F37" s="8">
        <f>Tableau3[[#This Row],[ToM(+2400000)]]+2400000</f>
        <v>2447887.4500000002</v>
      </c>
      <c r="G37" s="34">
        <v>0.34</v>
      </c>
      <c r="H37" s="3" t="s">
        <v>24</v>
      </c>
      <c r="I37" t="s">
        <v>56</v>
      </c>
      <c r="J37" t="s">
        <v>26</v>
      </c>
      <c r="K37" t="s">
        <v>49</v>
      </c>
      <c r="L37" t="s">
        <v>60</v>
      </c>
    </row>
    <row r="38" spans="1:14" x14ac:dyDescent="0.25">
      <c r="A38" s="70" t="s">
        <v>29</v>
      </c>
      <c r="B38" s="70" t="s">
        <v>68</v>
      </c>
      <c r="C38" s="70" t="s">
        <v>23</v>
      </c>
      <c r="D38" s="70" t="str">
        <f>_xlfn.CONCAT(Tableau3[[#This Row],[N.Star]]," ",Tableau3[[#This Row],[Const.]])</f>
        <v>TT Aql</v>
      </c>
      <c r="E38" s="76">
        <v>43370.983</v>
      </c>
      <c r="F38" s="76">
        <f>Tableau3[[#This Row],[ToM(+2400000)]]+2400000</f>
        <v>2443370.983</v>
      </c>
      <c r="G38" s="71">
        <v>0.15</v>
      </c>
      <c r="H38" s="72" t="s">
        <v>24</v>
      </c>
      <c r="I38" s="70" t="s">
        <v>45</v>
      </c>
      <c r="J38" s="70" t="s">
        <v>26</v>
      </c>
      <c r="K38" s="70" t="s">
        <v>43</v>
      </c>
      <c r="L38" s="70" t="s">
        <v>44</v>
      </c>
      <c r="M38" s="70"/>
      <c r="N38" s="70"/>
    </row>
    <row r="39" spans="1:14" x14ac:dyDescent="0.25">
      <c r="A39" s="70" t="s">
        <v>29</v>
      </c>
      <c r="B39" s="70" t="s">
        <v>68</v>
      </c>
      <c r="C39" s="70" t="s">
        <v>23</v>
      </c>
      <c r="D39" s="70" t="str">
        <f>_xlfn.CONCAT(Tableau3[[#This Row],[N.Star]]," ",Tableau3[[#This Row],[Const.]])</f>
        <v>TT Aql</v>
      </c>
      <c r="E39" s="76">
        <v>43385.184999999998</v>
      </c>
      <c r="F39" s="76">
        <f>Tableau3[[#This Row],[ToM(+2400000)]]+2400000</f>
        <v>2443385.1850000001</v>
      </c>
      <c r="G39" s="71">
        <v>0.15</v>
      </c>
      <c r="H39" s="72" t="s">
        <v>24</v>
      </c>
      <c r="I39" s="70" t="s">
        <v>37</v>
      </c>
      <c r="J39" s="70" t="s">
        <v>26</v>
      </c>
      <c r="K39" s="70" t="s">
        <v>43</v>
      </c>
      <c r="L39" s="70" t="s">
        <v>44</v>
      </c>
      <c r="M39" s="70"/>
      <c r="N39" s="70"/>
    </row>
    <row r="40" spans="1:14" x14ac:dyDescent="0.25">
      <c r="A40" s="70" t="s">
        <v>29</v>
      </c>
      <c r="B40" s="70" t="s">
        <v>68</v>
      </c>
      <c r="C40" s="70" t="s">
        <v>23</v>
      </c>
      <c r="D40" s="70" t="str">
        <f>_xlfn.CONCAT(Tableau3[[#This Row],[N.Star]]," ",Tableau3[[#This Row],[Const.]])</f>
        <v>TT Aql</v>
      </c>
      <c r="E40" s="76">
        <v>43385.599999999999</v>
      </c>
      <c r="F40" s="76">
        <f>Tableau3[[#This Row],[ToM(+2400000)]]+2400000</f>
        <v>2443385.6</v>
      </c>
      <c r="G40" s="71">
        <v>0.15</v>
      </c>
      <c r="H40" s="72" t="s">
        <v>24</v>
      </c>
      <c r="I40" s="70" t="s">
        <v>47</v>
      </c>
      <c r="J40" s="70" t="s">
        <v>26</v>
      </c>
      <c r="K40" s="70" t="s">
        <v>43</v>
      </c>
      <c r="L40" s="70" t="s">
        <v>44</v>
      </c>
      <c r="M40" s="70"/>
      <c r="N40" s="70"/>
    </row>
    <row r="41" spans="1:14" x14ac:dyDescent="0.25">
      <c r="A41" s="70" t="s">
        <v>29</v>
      </c>
      <c r="B41" s="70" t="s">
        <v>68</v>
      </c>
      <c r="C41" s="70" t="s">
        <v>23</v>
      </c>
      <c r="D41" s="70" t="str">
        <f>_xlfn.CONCAT(Tableau3[[#This Row],[N.Star]]," ",Tableau3[[#This Row],[Const.]])</f>
        <v>TT Aql</v>
      </c>
      <c r="E41" s="76">
        <v>43398.292000000001</v>
      </c>
      <c r="F41" s="76">
        <f>Tableau3[[#This Row],[ToM(+2400000)]]+2400000</f>
        <v>2443398.2919999999</v>
      </c>
      <c r="G41" s="71">
        <v>0.15</v>
      </c>
      <c r="H41" s="72" t="s">
        <v>24</v>
      </c>
      <c r="I41" s="70" t="s">
        <v>69</v>
      </c>
      <c r="J41" s="70" t="s">
        <v>26</v>
      </c>
      <c r="K41" s="70" t="s">
        <v>52</v>
      </c>
      <c r="L41" s="70" t="s">
        <v>53</v>
      </c>
      <c r="M41" s="70"/>
      <c r="N41" s="70"/>
    </row>
    <row r="42" spans="1:14" x14ac:dyDescent="0.25">
      <c r="A42" s="70" t="s">
        <v>29</v>
      </c>
      <c r="B42" s="70" t="s">
        <v>68</v>
      </c>
      <c r="C42" s="70" t="s">
        <v>23</v>
      </c>
      <c r="D42" s="70" t="str">
        <f>_xlfn.CONCAT(Tableau3[[#This Row],[N.Star]]," ",Tableau3[[#This Row],[Const.]])</f>
        <v>TT Aql</v>
      </c>
      <c r="E42" s="76">
        <v>43426.6</v>
      </c>
      <c r="F42" s="76">
        <f>Tableau3[[#This Row],[ToM(+2400000)]]+2400000</f>
        <v>2443426.6</v>
      </c>
      <c r="G42" s="71">
        <v>0.15</v>
      </c>
      <c r="H42" s="72" t="s">
        <v>24</v>
      </c>
      <c r="I42" s="70" t="s">
        <v>70</v>
      </c>
      <c r="J42" s="70" t="s">
        <v>26</v>
      </c>
      <c r="K42" s="70" t="s">
        <v>43</v>
      </c>
      <c r="L42" s="70" t="s">
        <v>44</v>
      </c>
      <c r="M42" s="70"/>
      <c r="N42" s="70"/>
    </row>
    <row r="43" spans="1:14" x14ac:dyDescent="0.25">
      <c r="A43" s="70" t="s">
        <v>29</v>
      </c>
      <c r="B43" s="70" t="s">
        <v>68</v>
      </c>
      <c r="C43" s="70" t="s">
        <v>23</v>
      </c>
      <c r="D43" s="70" t="str">
        <f>_xlfn.CONCAT(Tableau3[[#This Row],[N.Star]]," ",Tableau3[[#This Row],[Const.]])</f>
        <v>TT Aql</v>
      </c>
      <c r="E43" s="76">
        <v>43770.313999999998</v>
      </c>
      <c r="F43" s="76">
        <f>Tableau3[[#This Row],[ToM(+2400000)]]+2400000</f>
        <v>2443770.3139999998</v>
      </c>
      <c r="G43" s="71">
        <v>0.15</v>
      </c>
      <c r="H43" s="72" t="s">
        <v>24</v>
      </c>
      <c r="I43" s="70" t="s">
        <v>55</v>
      </c>
      <c r="J43" s="70" t="s">
        <v>26</v>
      </c>
      <c r="K43" s="70" t="s">
        <v>43</v>
      </c>
      <c r="L43" s="70" t="s">
        <v>44</v>
      </c>
      <c r="M43" s="70"/>
      <c r="N43" s="70"/>
    </row>
    <row r="44" spans="1:14" x14ac:dyDescent="0.25">
      <c r="A44" s="70" t="s">
        <v>29</v>
      </c>
      <c r="B44" s="70" t="s">
        <v>68</v>
      </c>
      <c r="C44" s="70" t="s">
        <v>23</v>
      </c>
      <c r="D44" s="70" t="str">
        <f>_xlfn.CONCAT(Tableau3[[#This Row],[N.Star]]," ",Tableau3[[#This Row],[Const.]])</f>
        <v>TT Aql</v>
      </c>
      <c r="E44" s="76">
        <v>47194.84</v>
      </c>
      <c r="F44" s="76">
        <f>Tableau3[[#This Row],[ToM(+2400000)]]+2400000</f>
        <v>2447194.84</v>
      </c>
      <c r="G44" s="71">
        <v>0.4</v>
      </c>
      <c r="H44" s="72" t="s">
        <v>24</v>
      </c>
      <c r="I44" s="70" t="s">
        <v>56</v>
      </c>
      <c r="J44" s="70" t="s">
        <v>26</v>
      </c>
      <c r="K44" s="70" t="s">
        <v>49</v>
      </c>
      <c r="L44" s="70" t="s">
        <v>60</v>
      </c>
      <c r="M44" s="70"/>
      <c r="N44" s="70"/>
    </row>
    <row r="45" spans="1:14" x14ac:dyDescent="0.25">
      <c r="A45" s="70" t="s">
        <v>29</v>
      </c>
      <c r="B45" s="70" t="s">
        <v>68</v>
      </c>
      <c r="C45" s="70" t="s">
        <v>23</v>
      </c>
      <c r="D45" s="70" t="str">
        <f>_xlfn.CONCAT(Tableau3[[#This Row],[N.Star]]," ",Tableau3[[#This Row],[Const.]])</f>
        <v>TT Aql</v>
      </c>
      <c r="E45" s="76">
        <v>47759.33</v>
      </c>
      <c r="F45" s="76">
        <f>Tableau3[[#This Row],[ToM(+2400000)]]+2400000</f>
        <v>2447759.33</v>
      </c>
      <c r="G45" s="71">
        <v>0.4</v>
      </c>
      <c r="H45" s="72" t="s">
        <v>24</v>
      </c>
      <c r="I45" s="70" t="s">
        <v>56</v>
      </c>
      <c r="J45" s="70" t="s">
        <v>26</v>
      </c>
      <c r="K45" s="70" t="s">
        <v>49</v>
      </c>
      <c r="L45" s="70" t="s">
        <v>60</v>
      </c>
      <c r="M45" s="70"/>
      <c r="N45" s="70"/>
    </row>
    <row r="46" spans="1:14" x14ac:dyDescent="0.25">
      <c r="A46" s="70" t="s">
        <v>29</v>
      </c>
      <c r="B46" s="70" t="s">
        <v>68</v>
      </c>
      <c r="C46" s="70" t="s">
        <v>23</v>
      </c>
      <c r="D46" s="70" t="str">
        <f>_xlfn.CONCAT(Tableau3[[#This Row],[N.Star]]," ",Tableau3[[#This Row],[Const.]])</f>
        <v>TT Aql</v>
      </c>
      <c r="E46" s="76">
        <v>48116.800000000003</v>
      </c>
      <c r="F46" s="76">
        <f>Tableau3[[#This Row],[ToM(+2400000)]]+2400000</f>
        <v>2448116.7999999998</v>
      </c>
      <c r="G46" s="71">
        <v>0.4</v>
      </c>
      <c r="H46" s="72" t="s">
        <v>24</v>
      </c>
      <c r="I46" s="70" t="s">
        <v>56</v>
      </c>
      <c r="J46" s="70" t="s">
        <v>26</v>
      </c>
      <c r="K46" s="70" t="s">
        <v>49</v>
      </c>
      <c r="L46" s="70" t="s">
        <v>50</v>
      </c>
      <c r="M46" s="70"/>
      <c r="N46" s="70"/>
    </row>
    <row r="47" spans="1:14" x14ac:dyDescent="0.25">
      <c r="A47" t="s">
        <v>29</v>
      </c>
      <c r="B47" t="s">
        <v>71</v>
      </c>
      <c r="C47" t="s">
        <v>23</v>
      </c>
      <c r="D47" t="str">
        <f>_xlfn.CONCAT(Tableau3[[#This Row],[N.Star]]," ",Tableau3[[#This Row],[Const.]])</f>
        <v>U Aql</v>
      </c>
      <c r="E47" s="8">
        <v>43386.6</v>
      </c>
      <c r="F47" s="8">
        <f>Tableau3[[#This Row],[ToM(+2400000)]]+2400000</f>
        <v>2443386.6</v>
      </c>
      <c r="G47" s="34">
        <v>0.15</v>
      </c>
      <c r="H47" s="3" t="s">
        <v>24</v>
      </c>
      <c r="I47" t="s">
        <v>47</v>
      </c>
      <c r="J47" t="s">
        <v>26</v>
      </c>
      <c r="K47" t="s">
        <v>52</v>
      </c>
      <c r="L47" t="s">
        <v>53</v>
      </c>
    </row>
    <row r="48" spans="1:14" x14ac:dyDescent="0.25">
      <c r="A48" t="s">
        <v>29</v>
      </c>
      <c r="B48" t="s">
        <v>71</v>
      </c>
      <c r="C48" t="s">
        <v>23</v>
      </c>
      <c r="D48" t="str">
        <f>_xlfn.CONCAT(Tableau3[[#This Row],[N.Star]]," ",Tableau3[[#This Row],[Const.]])</f>
        <v>U Aql</v>
      </c>
      <c r="E48" s="8">
        <v>43400.442000000003</v>
      </c>
      <c r="F48" s="8">
        <f>Tableau3[[#This Row],[ToM(+2400000)]]+2400000</f>
        <v>2443400.4419999998</v>
      </c>
      <c r="G48" s="34">
        <v>0.15</v>
      </c>
      <c r="H48" s="3" t="s">
        <v>24</v>
      </c>
      <c r="I48" t="s">
        <v>72</v>
      </c>
      <c r="J48" t="s">
        <v>26</v>
      </c>
      <c r="K48" t="s">
        <v>43</v>
      </c>
      <c r="L48" t="s">
        <v>44</v>
      </c>
    </row>
    <row r="49" spans="1:14" x14ac:dyDescent="0.25">
      <c r="A49" t="s">
        <v>29</v>
      </c>
      <c r="B49" t="s">
        <v>71</v>
      </c>
      <c r="C49" t="s">
        <v>23</v>
      </c>
      <c r="D49" t="str">
        <f>_xlfn.CONCAT(Tableau3[[#This Row],[N.Star]]," ",Tableau3[[#This Row],[Const.]])</f>
        <v>U Aql</v>
      </c>
      <c r="E49" s="8">
        <v>43541.05</v>
      </c>
      <c r="F49" s="8">
        <f>Tableau3[[#This Row],[ToM(+2400000)]]+2400000</f>
        <v>2443541.0499999998</v>
      </c>
      <c r="G49" s="34">
        <v>0.15</v>
      </c>
      <c r="H49" s="3" t="s">
        <v>24</v>
      </c>
      <c r="I49" t="s">
        <v>66</v>
      </c>
      <c r="J49" t="s">
        <v>26</v>
      </c>
      <c r="K49" t="s">
        <v>43</v>
      </c>
      <c r="L49" t="s">
        <v>44</v>
      </c>
    </row>
    <row r="50" spans="1:14" x14ac:dyDescent="0.25">
      <c r="A50" t="s">
        <v>29</v>
      </c>
      <c r="B50" t="s">
        <v>71</v>
      </c>
      <c r="C50" t="s">
        <v>23</v>
      </c>
      <c r="D50" t="str">
        <f>_xlfn.CONCAT(Tableau3[[#This Row],[N.Star]]," ",Tableau3[[#This Row],[Const.]])</f>
        <v>U Aql</v>
      </c>
      <c r="E50" s="8">
        <v>45381.18</v>
      </c>
      <c r="F50" s="8">
        <f>Tableau3[[#This Row],[ToM(+2400000)]]+2400000</f>
        <v>2445381.1800000002</v>
      </c>
      <c r="G50" s="34">
        <v>0.21</v>
      </c>
      <c r="H50" s="3" t="s">
        <v>24</v>
      </c>
      <c r="I50" t="s">
        <v>25</v>
      </c>
      <c r="J50" t="s">
        <v>26</v>
      </c>
      <c r="K50" t="s">
        <v>27</v>
      </c>
      <c r="L50" t="s">
        <v>27</v>
      </c>
      <c r="N50" t="s">
        <v>39</v>
      </c>
    </row>
    <row r="51" spans="1:14" x14ac:dyDescent="0.25">
      <c r="A51" t="s">
        <v>29</v>
      </c>
      <c r="B51" t="s">
        <v>71</v>
      </c>
      <c r="C51" t="s">
        <v>23</v>
      </c>
      <c r="D51" t="str">
        <f>_xlfn.CONCAT(Tableau3[[#This Row],[N.Star]]," ",Tableau3[[#This Row],[Const.]])</f>
        <v>U Aql</v>
      </c>
      <c r="E51" s="8">
        <v>45528.87</v>
      </c>
      <c r="F51" s="8">
        <f>Tableau3[[#This Row],[ToM(+2400000)]]+2400000</f>
        <v>2445528.87</v>
      </c>
      <c r="G51" s="34">
        <v>0.14000000000000001</v>
      </c>
      <c r="H51" s="3" t="s">
        <v>24</v>
      </c>
      <c r="I51" t="s">
        <v>56</v>
      </c>
      <c r="J51" t="s">
        <v>26</v>
      </c>
      <c r="K51" t="s">
        <v>57</v>
      </c>
      <c r="L51" t="s">
        <v>73</v>
      </c>
    </row>
    <row r="52" spans="1:14" x14ac:dyDescent="0.25">
      <c r="A52" t="s">
        <v>29</v>
      </c>
      <c r="B52" t="s">
        <v>74</v>
      </c>
      <c r="C52" t="s">
        <v>23</v>
      </c>
      <c r="D52" t="str">
        <f>_xlfn.CONCAT(Tableau3[[#This Row],[N.Star]]," ",Tableau3[[#This Row],[Const.]])</f>
        <v>V1162 Aql</v>
      </c>
      <c r="E52" s="8">
        <v>46415.21</v>
      </c>
      <c r="F52" s="8">
        <f>Tableau3[[#This Row],[ToM(+2400000)]]+2400000</f>
        <v>2446415.21</v>
      </c>
      <c r="G52" s="34">
        <v>0.54</v>
      </c>
      <c r="H52" s="3" t="s">
        <v>24</v>
      </c>
      <c r="I52" t="s">
        <v>25</v>
      </c>
      <c r="J52" t="s">
        <v>26</v>
      </c>
      <c r="K52" t="s">
        <v>27</v>
      </c>
      <c r="L52" t="s">
        <v>27</v>
      </c>
      <c r="N52" t="s">
        <v>39</v>
      </c>
    </row>
    <row r="53" spans="1:14" x14ac:dyDescent="0.25">
      <c r="A53" t="s">
        <v>29</v>
      </c>
      <c r="B53" t="s">
        <v>75</v>
      </c>
      <c r="C53" t="s">
        <v>23</v>
      </c>
      <c r="D53" t="str">
        <f>_xlfn.CONCAT(Tableau3[[#This Row],[N.Star]]," ",Tableau3[[#This Row],[Const.]])</f>
        <v>V496 Aql</v>
      </c>
      <c r="E53" s="8">
        <v>43388.803</v>
      </c>
      <c r="F53" s="8">
        <f>Tableau3[[#This Row],[ToM(+2400000)]]+2400000</f>
        <v>2443388.8029999998</v>
      </c>
      <c r="G53" s="34">
        <v>0.15</v>
      </c>
      <c r="H53" s="3" t="s">
        <v>24</v>
      </c>
      <c r="I53" t="s">
        <v>45</v>
      </c>
      <c r="J53" t="s">
        <v>26</v>
      </c>
      <c r="K53" t="s">
        <v>43</v>
      </c>
      <c r="L53" t="s">
        <v>44</v>
      </c>
    </row>
    <row r="54" spans="1:14" x14ac:dyDescent="0.25">
      <c r="A54" t="s">
        <v>29</v>
      </c>
      <c r="B54" t="s">
        <v>75</v>
      </c>
      <c r="C54" t="s">
        <v>23</v>
      </c>
      <c r="D54" t="str">
        <f>_xlfn.CONCAT(Tableau3[[#This Row],[N.Star]]," ",Tableau3[[#This Row],[Const.]])</f>
        <v>V496 Aql</v>
      </c>
      <c r="E54" s="8">
        <v>43389.62</v>
      </c>
      <c r="F54" s="8">
        <f>Tableau3[[#This Row],[ToM(+2400000)]]+2400000</f>
        <v>2443389.62</v>
      </c>
      <c r="G54" s="34">
        <v>0.15</v>
      </c>
      <c r="H54" s="3" t="s">
        <v>24</v>
      </c>
      <c r="I54" t="s">
        <v>47</v>
      </c>
      <c r="J54" t="s">
        <v>26</v>
      </c>
      <c r="K54" t="s">
        <v>43</v>
      </c>
      <c r="L54" t="s">
        <v>44</v>
      </c>
    </row>
    <row r="55" spans="1:14" x14ac:dyDescent="0.25">
      <c r="A55" t="s">
        <v>29</v>
      </c>
      <c r="B55" t="s">
        <v>76</v>
      </c>
      <c r="C55" t="s">
        <v>23</v>
      </c>
      <c r="D55" t="str">
        <f>_xlfn.CONCAT(Tableau3[[#This Row],[N.Star]]," ",Tableau3[[#This Row],[Const.]])</f>
        <v>V526 Aql</v>
      </c>
      <c r="E55" s="8">
        <v>45178.27</v>
      </c>
      <c r="F55" s="8">
        <f>Tableau3[[#This Row],[ToM(+2400000)]]+2400000</f>
        <v>2445178.27</v>
      </c>
      <c r="G55" s="34">
        <v>0.15</v>
      </c>
      <c r="H55" s="3" t="s">
        <v>24</v>
      </c>
      <c r="I55" t="s">
        <v>77</v>
      </c>
      <c r="J55" t="s">
        <v>26</v>
      </c>
      <c r="K55" t="s">
        <v>78</v>
      </c>
      <c r="L55" t="s">
        <v>79</v>
      </c>
    </row>
    <row r="56" spans="1:14" ht="14.25" customHeight="1" x14ac:dyDescent="0.25">
      <c r="A56" t="s">
        <v>29</v>
      </c>
      <c r="B56" t="s">
        <v>76</v>
      </c>
      <c r="C56" t="s">
        <v>23</v>
      </c>
      <c r="D56" t="str">
        <f>_xlfn.CONCAT(Tableau3[[#This Row],[N.Star]]," ",Tableau3[[#This Row],[Const.]])</f>
        <v>V526 Aql</v>
      </c>
      <c r="E56" s="8">
        <v>45178.32</v>
      </c>
      <c r="F56" s="8">
        <f>Tableau3[[#This Row],[ToM(+2400000)]]+2400000</f>
        <v>2445178.3199999998</v>
      </c>
      <c r="G56" s="34">
        <v>0.1</v>
      </c>
      <c r="H56" s="3" t="s">
        <v>24</v>
      </c>
      <c r="I56" t="s">
        <v>80</v>
      </c>
      <c r="J56" t="s">
        <v>26</v>
      </c>
      <c r="K56" t="s">
        <v>81</v>
      </c>
      <c r="L56" t="s">
        <v>82</v>
      </c>
    </row>
    <row r="57" spans="1:14" x14ac:dyDescent="0.25">
      <c r="A57" t="s">
        <v>29</v>
      </c>
      <c r="B57" t="s">
        <v>76</v>
      </c>
      <c r="C57" t="s">
        <v>23</v>
      </c>
      <c r="D57" t="str">
        <f>_xlfn.CONCAT(Tableau3[[#This Row],[N.Star]]," ",Tableau3[[#This Row],[Const.]])</f>
        <v>V526 Aql</v>
      </c>
      <c r="E57" s="8">
        <v>45178.53</v>
      </c>
      <c r="F57" s="8">
        <f>Tableau3[[#This Row],[ToM(+2400000)]]+2400000</f>
        <v>2445178.5299999998</v>
      </c>
      <c r="G57" s="34">
        <v>0.1</v>
      </c>
      <c r="H57" s="3" t="s">
        <v>24</v>
      </c>
      <c r="I57" t="s">
        <v>83</v>
      </c>
      <c r="J57" t="s">
        <v>26</v>
      </c>
      <c r="K57" t="s">
        <v>81</v>
      </c>
      <c r="L57" t="s">
        <v>82</v>
      </c>
    </row>
    <row r="58" spans="1:14" x14ac:dyDescent="0.25">
      <c r="A58" s="103" t="s">
        <v>84</v>
      </c>
      <c r="B58" s="103" t="s">
        <v>85</v>
      </c>
      <c r="C58" s="103" t="s">
        <v>23</v>
      </c>
      <c r="D58" s="103" t="str">
        <f>_xlfn.CONCAT(Tableau3[[#This Row],[N.Star]]," ",Tableau3[[#This Row],[Const.]])</f>
        <v>RT Aur</v>
      </c>
      <c r="E58" s="104">
        <v>42450.7</v>
      </c>
      <c r="F58" s="104">
        <f>Tableau3[[#This Row],[ToM(+2400000)]]+2400000</f>
        <v>2442450.7000000002</v>
      </c>
      <c r="G58" s="105">
        <v>0.1</v>
      </c>
      <c r="H58" s="106" t="s">
        <v>24</v>
      </c>
      <c r="I58" s="103" t="s">
        <v>80</v>
      </c>
      <c r="J58" s="103" t="s">
        <v>26</v>
      </c>
      <c r="K58" s="103" t="s">
        <v>86</v>
      </c>
      <c r="L58" s="103" t="s">
        <v>87</v>
      </c>
      <c r="M58" s="103" t="s">
        <v>665</v>
      </c>
      <c r="N58" s="103"/>
    </row>
    <row r="59" spans="1:14" x14ac:dyDescent="0.25">
      <c r="A59" s="103" t="s">
        <v>84</v>
      </c>
      <c r="B59" s="103" t="s">
        <v>85</v>
      </c>
      <c r="C59" s="103" t="s">
        <v>23</v>
      </c>
      <c r="D59" s="103" t="str">
        <f>_xlfn.CONCAT(Tableau3[[#This Row],[N.Star]]," ",Tableau3[[#This Row],[Const.]])</f>
        <v>RT Aur</v>
      </c>
      <c r="E59" s="104">
        <v>42450.73</v>
      </c>
      <c r="F59" s="104">
        <f>Tableau3[[#This Row],[ToM(+2400000)]]+2400000</f>
        <v>2442450.73</v>
      </c>
      <c r="G59" s="105">
        <v>0.1</v>
      </c>
      <c r="H59" s="106" t="s">
        <v>24</v>
      </c>
      <c r="I59" s="103" t="s">
        <v>88</v>
      </c>
      <c r="J59" s="103" t="s">
        <v>26</v>
      </c>
      <c r="K59" s="103" t="s">
        <v>86</v>
      </c>
      <c r="L59" s="103" t="s">
        <v>87</v>
      </c>
      <c r="M59" s="103" t="s">
        <v>665</v>
      </c>
      <c r="N59" s="103"/>
    </row>
    <row r="60" spans="1:14" x14ac:dyDescent="0.25">
      <c r="A60" s="103" t="s">
        <v>84</v>
      </c>
      <c r="B60" s="103" t="s">
        <v>85</v>
      </c>
      <c r="C60" s="103" t="s">
        <v>23</v>
      </c>
      <c r="D60" s="103" t="str">
        <f>_xlfn.CONCAT(Tableau3[[#This Row],[N.Star]]," ",Tableau3[[#This Row],[Const.]])</f>
        <v>RT Aur</v>
      </c>
      <c r="E60" s="104">
        <v>42458.17</v>
      </c>
      <c r="F60" s="104">
        <f>Tableau3[[#This Row],[ToM(+2400000)]]+2400000</f>
        <v>2442458.17</v>
      </c>
      <c r="G60" s="105">
        <v>0.12</v>
      </c>
      <c r="H60" s="106" t="s">
        <v>24</v>
      </c>
      <c r="I60" s="103" t="s">
        <v>55</v>
      </c>
      <c r="J60" s="103" t="s">
        <v>26</v>
      </c>
      <c r="K60" s="103" t="s">
        <v>86</v>
      </c>
      <c r="L60" s="103" t="s">
        <v>87</v>
      </c>
      <c r="M60" s="103" t="s">
        <v>665</v>
      </c>
      <c r="N60" s="103"/>
    </row>
    <row r="61" spans="1:14" x14ac:dyDescent="0.25">
      <c r="A61" s="103" t="s">
        <v>84</v>
      </c>
      <c r="B61" s="103" t="s">
        <v>85</v>
      </c>
      <c r="C61" s="103" t="s">
        <v>23</v>
      </c>
      <c r="D61" s="103" t="str">
        <f>_xlfn.CONCAT(Tableau3[[#This Row],[N.Star]]," ",Tableau3[[#This Row],[Const.]])</f>
        <v>RT Aur</v>
      </c>
      <c r="E61" s="104">
        <v>42458.17</v>
      </c>
      <c r="F61" s="104">
        <f>Tableau3[[#This Row],[ToM(+2400000)]]+2400000</f>
        <v>2442458.17</v>
      </c>
      <c r="G61" s="105">
        <v>0.15</v>
      </c>
      <c r="H61" s="104" t="s">
        <v>24</v>
      </c>
      <c r="I61" s="103" t="s">
        <v>89</v>
      </c>
      <c r="J61" s="103" t="s">
        <v>26</v>
      </c>
      <c r="K61" s="103" t="s">
        <v>86</v>
      </c>
      <c r="L61" s="103" t="s">
        <v>90</v>
      </c>
      <c r="M61" s="103" t="s">
        <v>665</v>
      </c>
      <c r="N61" s="103" t="s">
        <v>91</v>
      </c>
    </row>
    <row r="62" spans="1:14" x14ac:dyDescent="0.25">
      <c r="A62" s="103" t="s">
        <v>84</v>
      </c>
      <c r="B62" s="103" t="s">
        <v>85</v>
      </c>
      <c r="C62" s="103" t="s">
        <v>23</v>
      </c>
      <c r="D62" s="103" t="str">
        <f>_xlfn.CONCAT(Tableau3[[#This Row],[N.Star]]," ",Tableau3[[#This Row],[Const.]])</f>
        <v>RT Aur</v>
      </c>
      <c r="E62" s="104">
        <v>42521.46</v>
      </c>
      <c r="F62" s="104">
        <f>Tableau3[[#This Row],[ToM(+2400000)]]+2400000</f>
        <v>2442521.46</v>
      </c>
      <c r="G62" s="105">
        <v>0.1</v>
      </c>
      <c r="H62" s="106" t="s">
        <v>24</v>
      </c>
      <c r="I62" s="103" t="s">
        <v>35</v>
      </c>
      <c r="J62" s="103" t="s">
        <v>26</v>
      </c>
      <c r="K62" s="103" t="s">
        <v>86</v>
      </c>
      <c r="L62" s="103" t="s">
        <v>87</v>
      </c>
      <c r="M62" s="103" t="s">
        <v>665</v>
      </c>
      <c r="N62" s="103"/>
    </row>
    <row r="63" spans="1:14" x14ac:dyDescent="0.25">
      <c r="A63" s="103" t="s">
        <v>84</v>
      </c>
      <c r="B63" s="103" t="s">
        <v>85</v>
      </c>
      <c r="C63" s="103" t="s">
        <v>23</v>
      </c>
      <c r="D63" s="103" t="str">
        <f>_xlfn.CONCAT(Tableau3[[#This Row],[N.Star]]," ",Tableau3[[#This Row],[Const.]])</f>
        <v>RT Aur</v>
      </c>
      <c r="E63" s="104">
        <v>42532.65</v>
      </c>
      <c r="F63" s="104">
        <f>Tableau3[[#This Row],[ToM(+2400000)]]+2400000</f>
        <v>2442532.65</v>
      </c>
      <c r="G63" s="105">
        <v>0.06</v>
      </c>
      <c r="H63" s="106" t="s">
        <v>24</v>
      </c>
      <c r="I63" s="103" t="s">
        <v>31</v>
      </c>
      <c r="J63" s="103" t="s">
        <v>26</v>
      </c>
      <c r="K63" s="103" t="s">
        <v>86</v>
      </c>
      <c r="L63" s="103" t="s">
        <v>87</v>
      </c>
      <c r="M63" s="103" t="s">
        <v>665</v>
      </c>
      <c r="N63" s="103"/>
    </row>
    <row r="64" spans="1:14" x14ac:dyDescent="0.25">
      <c r="A64" s="103" t="s">
        <v>84</v>
      </c>
      <c r="B64" s="103" t="s">
        <v>85</v>
      </c>
      <c r="C64" s="103" t="s">
        <v>23</v>
      </c>
      <c r="D64" s="103" t="str">
        <f>_xlfn.CONCAT(Tableau3[[#This Row],[N.Star]]," ",Tableau3[[#This Row],[Const.]])</f>
        <v>RT Aur</v>
      </c>
      <c r="E64" s="104">
        <v>42752.84</v>
      </c>
      <c r="F64" s="104">
        <f>Tableau3[[#This Row],[ToM(+2400000)]]+2400000</f>
        <v>2442752.84</v>
      </c>
      <c r="G64" s="105">
        <v>0.1</v>
      </c>
      <c r="H64" s="106" t="s">
        <v>24</v>
      </c>
      <c r="I64" s="103" t="s">
        <v>47</v>
      </c>
      <c r="J64" s="103" t="s">
        <v>26</v>
      </c>
      <c r="K64" s="103" t="s">
        <v>86</v>
      </c>
      <c r="L64" s="103" t="s">
        <v>87</v>
      </c>
      <c r="M64" s="103" t="s">
        <v>665</v>
      </c>
      <c r="N64" s="103"/>
    </row>
    <row r="65" spans="1:14" x14ac:dyDescent="0.25">
      <c r="A65" s="103" t="s">
        <v>84</v>
      </c>
      <c r="B65" s="103" t="s">
        <v>85</v>
      </c>
      <c r="C65" s="103" t="s">
        <v>23</v>
      </c>
      <c r="D65" s="103" t="str">
        <f>_xlfn.CONCAT(Tableau3[[#This Row],[N.Star]]," ",Tableau3[[#This Row],[Const.]])</f>
        <v>RT Aur</v>
      </c>
      <c r="E65" s="104">
        <v>42838.2</v>
      </c>
      <c r="F65" s="104">
        <f>Tableau3[[#This Row],[ToM(+2400000)]]+2400000</f>
        <v>2442838.2000000002</v>
      </c>
      <c r="G65" s="105">
        <v>0.1</v>
      </c>
      <c r="H65" s="106" t="s">
        <v>24</v>
      </c>
      <c r="I65" s="103" t="s">
        <v>37</v>
      </c>
      <c r="J65" s="103" t="s">
        <v>26</v>
      </c>
      <c r="K65" s="103" t="s">
        <v>86</v>
      </c>
      <c r="L65" s="103" t="s">
        <v>87</v>
      </c>
      <c r="M65" s="103" t="s">
        <v>665</v>
      </c>
      <c r="N65" s="103"/>
    </row>
    <row r="66" spans="1:14" x14ac:dyDescent="0.25">
      <c r="A66" s="103" t="s">
        <v>84</v>
      </c>
      <c r="B66" s="103" t="s">
        <v>85</v>
      </c>
      <c r="C66" s="103" t="s">
        <v>23</v>
      </c>
      <c r="D66" s="103" t="str">
        <f>_xlfn.CONCAT(Tableau3[[#This Row],[N.Star]]," ",Tableau3[[#This Row],[Const.]])</f>
        <v>RT Aur</v>
      </c>
      <c r="E66" s="104">
        <v>42838.41</v>
      </c>
      <c r="F66" s="104">
        <f>Tableau3[[#This Row],[ToM(+2400000)]]+2400000</f>
        <v>2442838.41</v>
      </c>
      <c r="G66" s="105">
        <v>0.15</v>
      </c>
      <c r="H66" s="106" t="s">
        <v>24</v>
      </c>
      <c r="I66" s="103" t="s">
        <v>92</v>
      </c>
      <c r="J66" s="103" t="s">
        <v>26</v>
      </c>
      <c r="K66" s="103" t="s">
        <v>93</v>
      </c>
      <c r="L66" s="103" t="s">
        <v>94</v>
      </c>
      <c r="M66" s="103" t="s">
        <v>665</v>
      </c>
      <c r="N66" s="103"/>
    </row>
    <row r="67" spans="1:14" x14ac:dyDescent="0.25">
      <c r="A67" s="103" t="s">
        <v>84</v>
      </c>
      <c r="B67" s="103" t="s">
        <v>85</v>
      </c>
      <c r="C67" s="103" t="s">
        <v>23</v>
      </c>
      <c r="D67" s="103" t="str">
        <f>_xlfn.CONCAT(Tableau3[[#This Row],[N.Star]]," ",Tableau3[[#This Row],[Const.]])</f>
        <v>RT Aur</v>
      </c>
      <c r="E67" s="104">
        <v>42845.87</v>
      </c>
      <c r="F67" s="104">
        <f>Tableau3[[#This Row],[ToM(+2400000)]]+2400000</f>
        <v>2442845.87</v>
      </c>
      <c r="G67" s="105">
        <v>0.1</v>
      </c>
      <c r="H67" s="106" t="s">
        <v>24</v>
      </c>
      <c r="I67" s="103" t="s">
        <v>83</v>
      </c>
      <c r="J67" s="103" t="s">
        <v>26</v>
      </c>
      <c r="K67" s="103" t="s">
        <v>86</v>
      </c>
      <c r="L67" s="103" t="s">
        <v>87</v>
      </c>
      <c r="M67" s="103" t="s">
        <v>665</v>
      </c>
      <c r="N67" s="103"/>
    </row>
    <row r="68" spans="1:14" x14ac:dyDescent="0.25">
      <c r="A68" s="103" t="s">
        <v>84</v>
      </c>
      <c r="B68" s="103" t="s">
        <v>85</v>
      </c>
      <c r="C68" s="103" t="s">
        <v>23</v>
      </c>
      <c r="D68" s="103" t="str">
        <f>_xlfn.CONCAT(Tableau3[[#This Row],[N.Star]]," ",Tableau3[[#This Row],[Const.]])</f>
        <v>RT Aur</v>
      </c>
      <c r="E68" s="104">
        <v>42856.9</v>
      </c>
      <c r="F68" s="104">
        <f>Tableau3[[#This Row],[ToM(+2400000)]]+2400000</f>
        <v>2442856.9</v>
      </c>
      <c r="G68" s="105">
        <v>0.15</v>
      </c>
      <c r="H68" s="106" t="s">
        <v>24</v>
      </c>
      <c r="I68" s="103" t="s">
        <v>42</v>
      </c>
      <c r="J68" s="103" t="s">
        <v>26</v>
      </c>
      <c r="K68" s="103" t="s">
        <v>86</v>
      </c>
      <c r="L68" s="103" t="s">
        <v>87</v>
      </c>
      <c r="M68" s="103" t="s">
        <v>665</v>
      </c>
      <c r="N68" s="103"/>
    </row>
    <row r="69" spans="1:14" x14ac:dyDescent="0.25">
      <c r="A69" s="103" t="s">
        <v>84</v>
      </c>
      <c r="B69" s="103" t="s">
        <v>85</v>
      </c>
      <c r="C69" s="103" t="s">
        <v>23</v>
      </c>
      <c r="D69" s="103" t="str">
        <f>_xlfn.CONCAT(Tableau3[[#This Row],[N.Star]]," ",Tableau3[[#This Row],[Const.]])</f>
        <v>RT Aur</v>
      </c>
      <c r="E69" s="104">
        <v>42864.51</v>
      </c>
      <c r="F69" s="104">
        <f>Tableau3[[#This Row],[ToM(+2400000)]]+2400000</f>
        <v>2442864.5099999998</v>
      </c>
      <c r="G69" s="105">
        <v>0.11</v>
      </c>
      <c r="H69" s="106" t="s">
        <v>24</v>
      </c>
      <c r="I69" s="103" t="s">
        <v>38</v>
      </c>
      <c r="J69" s="103" t="s">
        <v>26</v>
      </c>
      <c r="K69" s="103" t="s">
        <v>86</v>
      </c>
      <c r="L69" s="103" t="s">
        <v>87</v>
      </c>
      <c r="M69" s="103" t="s">
        <v>665</v>
      </c>
      <c r="N69" s="103"/>
    </row>
    <row r="70" spans="1:14" x14ac:dyDescent="0.25">
      <c r="A70" s="103" t="s">
        <v>84</v>
      </c>
      <c r="B70" s="103" t="s">
        <v>85</v>
      </c>
      <c r="C70" s="103" t="s">
        <v>23</v>
      </c>
      <c r="D70" s="103" t="str">
        <f>_xlfn.CONCAT(Tableau3[[#This Row],[N.Star]]," ",Tableau3[[#This Row],[Const.]])</f>
        <v>RT Aur</v>
      </c>
      <c r="E70" s="104">
        <v>43170.27</v>
      </c>
      <c r="F70" s="104">
        <f>Tableau3[[#This Row],[ToM(+2400000)]]+2400000</f>
        <v>2443170.27</v>
      </c>
      <c r="G70" s="105">
        <v>0.1</v>
      </c>
      <c r="H70" s="106" t="s">
        <v>24</v>
      </c>
      <c r="I70" s="103" t="s">
        <v>95</v>
      </c>
      <c r="J70" s="103" t="s">
        <v>26</v>
      </c>
      <c r="K70" s="103" t="s">
        <v>86</v>
      </c>
      <c r="L70" s="103" t="s">
        <v>87</v>
      </c>
      <c r="M70" s="103" t="s">
        <v>665</v>
      </c>
      <c r="N70" s="103"/>
    </row>
    <row r="71" spans="1:14" x14ac:dyDescent="0.25">
      <c r="A71" s="103" t="s">
        <v>84</v>
      </c>
      <c r="B71" s="103" t="s">
        <v>85</v>
      </c>
      <c r="C71" s="103" t="s">
        <v>23</v>
      </c>
      <c r="D71" s="103" t="str">
        <f>_xlfn.CONCAT(Tableau3[[#This Row],[N.Star]]," ",Tableau3[[#This Row],[Const.]])</f>
        <v>RT Aur</v>
      </c>
      <c r="E71" s="104">
        <v>43181.27</v>
      </c>
      <c r="F71" s="104">
        <f>Tableau3[[#This Row],[ToM(+2400000)]]+2400000</f>
        <v>2443181.27</v>
      </c>
      <c r="G71" s="105">
        <v>0.15</v>
      </c>
      <c r="H71" s="104" t="s">
        <v>24</v>
      </c>
      <c r="I71" s="103" t="s">
        <v>96</v>
      </c>
      <c r="J71" s="103" t="s">
        <v>26</v>
      </c>
      <c r="K71" s="103" t="s">
        <v>86</v>
      </c>
      <c r="L71" s="103" t="s">
        <v>90</v>
      </c>
      <c r="M71" s="103" t="s">
        <v>665</v>
      </c>
      <c r="N71" s="103" t="s">
        <v>91</v>
      </c>
    </row>
    <row r="72" spans="1:14" x14ac:dyDescent="0.25">
      <c r="A72" s="103" t="s">
        <v>84</v>
      </c>
      <c r="B72" s="103" t="s">
        <v>85</v>
      </c>
      <c r="C72" s="103" t="s">
        <v>23</v>
      </c>
      <c r="D72" s="103" t="str">
        <f>_xlfn.CONCAT(Tableau3[[#This Row],[N.Star]]," ",Tableau3[[#This Row],[Const.]])</f>
        <v>RT Aur</v>
      </c>
      <c r="E72" s="104">
        <v>43181.27</v>
      </c>
      <c r="F72" s="104">
        <f>Tableau3[[#This Row],[ToM(+2400000)]]+2400000</f>
        <v>2443181.27</v>
      </c>
      <c r="G72" s="105">
        <v>0.19</v>
      </c>
      <c r="H72" s="106" t="s">
        <v>24</v>
      </c>
      <c r="I72" s="103" t="s">
        <v>66</v>
      </c>
      <c r="J72" s="103" t="s">
        <v>26</v>
      </c>
      <c r="K72" s="103" t="s">
        <v>86</v>
      </c>
      <c r="L72" s="103" t="s">
        <v>87</v>
      </c>
      <c r="M72" s="103" t="s">
        <v>665</v>
      </c>
      <c r="N72" s="103"/>
    </row>
    <row r="73" spans="1:14" x14ac:dyDescent="0.25">
      <c r="A73" s="103" t="s">
        <v>84</v>
      </c>
      <c r="B73" s="103" t="s">
        <v>85</v>
      </c>
      <c r="C73" s="103" t="s">
        <v>23</v>
      </c>
      <c r="D73" s="103" t="str">
        <f>_xlfn.CONCAT(Tableau3[[#This Row],[N.Star]]," ",Tableau3[[#This Row],[Const.]])</f>
        <v>RT Aur</v>
      </c>
      <c r="E73" s="104">
        <v>43181.38</v>
      </c>
      <c r="F73" s="104">
        <f>Tableau3[[#This Row],[ToM(+2400000)]]+2400000</f>
        <v>2443181.38</v>
      </c>
      <c r="G73" s="105">
        <v>0.1</v>
      </c>
      <c r="H73" s="106" t="s">
        <v>24</v>
      </c>
      <c r="I73" s="103" t="s">
        <v>72</v>
      </c>
      <c r="J73" s="103" t="s">
        <v>26</v>
      </c>
      <c r="K73" s="103" t="s">
        <v>86</v>
      </c>
      <c r="L73" s="103" t="s">
        <v>87</v>
      </c>
      <c r="M73" s="103" t="s">
        <v>665</v>
      </c>
      <c r="N73" s="103"/>
    </row>
    <row r="74" spans="1:14" x14ac:dyDescent="0.25">
      <c r="A74" s="103" t="s">
        <v>84</v>
      </c>
      <c r="B74" s="103" t="s">
        <v>85</v>
      </c>
      <c r="C74" s="103" t="s">
        <v>23</v>
      </c>
      <c r="D74" s="103" t="str">
        <f>_xlfn.CONCAT(Tableau3[[#This Row],[N.Star]]," ",Tableau3[[#This Row],[Const.]])</f>
        <v>RT Aur</v>
      </c>
      <c r="E74" s="104">
        <v>43185.07</v>
      </c>
      <c r="F74" s="104">
        <f>Tableau3[[#This Row],[ToM(+2400000)]]+2400000</f>
        <v>2443185.0699999998</v>
      </c>
      <c r="G74" s="105">
        <v>0.1</v>
      </c>
      <c r="H74" s="106" t="s">
        <v>24</v>
      </c>
      <c r="I74" s="103" t="s">
        <v>54</v>
      </c>
      <c r="J74" s="103" t="s">
        <v>26</v>
      </c>
      <c r="K74" s="103" t="s">
        <v>86</v>
      </c>
      <c r="L74" s="103" t="s">
        <v>87</v>
      </c>
      <c r="M74" s="103" t="s">
        <v>665</v>
      </c>
      <c r="N74" s="103"/>
    </row>
    <row r="75" spans="1:14" x14ac:dyDescent="0.25">
      <c r="A75" s="103" t="s">
        <v>84</v>
      </c>
      <c r="B75" s="103" t="s">
        <v>85</v>
      </c>
      <c r="C75" s="103" t="s">
        <v>23</v>
      </c>
      <c r="D75" s="103" t="str">
        <f>_xlfn.CONCAT(Tableau3[[#This Row],[N.Star]]," ",Tableau3[[#This Row],[Const.]])</f>
        <v>RT Aur</v>
      </c>
      <c r="E75" s="104">
        <v>43188.87</v>
      </c>
      <c r="F75" s="104">
        <f>Tableau3[[#This Row],[ToM(+2400000)]]+2400000</f>
        <v>2443188.87</v>
      </c>
      <c r="G75" s="105">
        <v>0.1</v>
      </c>
      <c r="H75" s="106" t="s">
        <v>24</v>
      </c>
      <c r="I75" s="103" t="s">
        <v>42</v>
      </c>
      <c r="J75" s="103" t="s">
        <v>26</v>
      </c>
      <c r="K75" s="103" t="s">
        <v>86</v>
      </c>
      <c r="L75" s="103" t="s">
        <v>87</v>
      </c>
      <c r="M75" s="103" t="s">
        <v>665</v>
      </c>
      <c r="N75" s="103"/>
    </row>
    <row r="76" spans="1:14" x14ac:dyDescent="0.25">
      <c r="A76" s="103" t="s">
        <v>84</v>
      </c>
      <c r="B76" s="103" t="s">
        <v>85</v>
      </c>
      <c r="C76" s="103" t="s">
        <v>23</v>
      </c>
      <c r="D76" s="103" t="str">
        <f>_xlfn.CONCAT(Tableau3[[#This Row],[N.Star]]," ",Tableau3[[#This Row],[Const.]])</f>
        <v>RT Aur</v>
      </c>
      <c r="E76" s="104">
        <v>43203.79</v>
      </c>
      <c r="F76" s="104">
        <f>Tableau3[[#This Row],[ToM(+2400000)]]+2400000</f>
        <v>2443203.79</v>
      </c>
      <c r="G76" s="105">
        <v>0.1</v>
      </c>
      <c r="H76" s="106" t="s">
        <v>24</v>
      </c>
      <c r="I76" s="103" t="s">
        <v>47</v>
      </c>
      <c r="J76" s="103" t="s">
        <v>26</v>
      </c>
      <c r="K76" s="103" t="s">
        <v>86</v>
      </c>
      <c r="L76" s="103" t="s">
        <v>87</v>
      </c>
      <c r="M76" s="103" t="s">
        <v>665</v>
      </c>
      <c r="N76" s="103"/>
    </row>
    <row r="77" spans="1:14" x14ac:dyDescent="0.25">
      <c r="A77" s="103" t="s">
        <v>84</v>
      </c>
      <c r="B77" s="103" t="s">
        <v>85</v>
      </c>
      <c r="C77" s="103" t="s">
        <v>23</v>
      </c>
      <c r="D77" s="103" t="str">
        <f>_xlfn.CONCAT(Tableau3[[#This Row],[N.Star]]," ",Tableau3[[#This Row],[Const.]])</f>
        <v>RT Aur</v>
      </c>
      <c r="E77" s="104">
        <v>43222.46</v>
      </c>
      <c r="F77" s="104">
        <f>Tableau3[[#This Row],[ToM(+2400000)]]+2400000</f>
        <v>2443222.46</v>
      </c>
      <c r="G77" s="105">
        <v>0.1</v>
      </c>
      <c r="H77" s="106" t="s">
        <v>24</v>
      </c>
      <c r="I77" s="103" t="s">
        <v>46</v>
      </c>
      <c r="J77" s="103" t="s">
        <v>26</v>
      </c>
      <c r="K77" s="103" t="s">
        <v>86</v>
      </c>
      <c r="L77" s="103" t="s">
        <v>87</v>
      </c>
      <c r="M77" s="103" t="s">
        <v>665</v>
      </c>
      <c r="N77" s="103"/>
    </row>
    <row r="78" spans="1:14" x14ac:dyDescent="0.25">
      <c r="A78" s="103" t="s">
        <v>84</v>
      </c>
      <c r="B78" s="103" t="s">
        <v>85</v>
      </c>
      <c r="C78" s="103" t="s">
        <v>23</v>
      </c>
      <c r="D78" s="103" t="str">
        <f>_xlfn.CONCAT(Tableau3[[#This Row],[N.Star]]," ",Tableau3[[#This Row],[Const.]])</f>
        <v>RT Aur</v>
      </c>
      <c r="E78" s="104">
        <v>43490.87</v>
      </c>
      <c r="F78" s="104">
        <f>Tableau3[[#This Row],[ToM(+2400000)]]+2400000</f>
        <v>2443490.87</v>
      </c>
      <c r="G78" s="105">
        <v>0.1</v>
      </c>
      <c r="H78" s="106" t="s">
        <v>24</v>
      </c>
      <c r="I78" s="103" t="s">
        <v>83</v>
      </c>
      <c r="J78" s="103" t="s">
        <v>26</v>
      </c>
      <c r="K78" s="103" t="s">
        <v>86</v>
      </c>
      <c r="L78" s="103" t="s">
        <v>87</v>
      </c>
      <c r="M78" s="103" t="s">
        <v>665</v>
      </c>
      <c r="N78" s="103"/>
    </row>
    <row r="79" spans="1:14" x14ac:dyDescent="0.25">
      <c r="A79" s="103" t="s">
        <v>84</v>
      </c>
      <c r="B79" s="103" t="s">
        <v>85</v>
      </c>
      <c r="C79" s="103" t="s">
        <v>23</v>
      </c>
      <c r="D79" s="103" t="str">
        <f>_xlfn.CONCAT(Tableau3[[#This Row],[N.Star]]," ",Tableau3[[#This Row],[Const.]])</f>
        <v>RT Aur</v>
      </c>
      <c r="E79" s="104">
        <v>43490.87</v>
      </c>
      <c r="F79" s="104">
        <f>Tableau3[[#This Row],[ToM(+2400000)]]+2400000</f>
        <v>2443490.87</v>
      </c>
      <c r="G79" s="105">
        <v>0.15</v>
      </c>
      <c r="H79" s="104" t="s">
        <v>24</v>
      </c>
      <c r="I79" s="103" t="s">
        <v>97</v>
      </c>
      <c r="J79" s="103" t="s">
        <v>26</v>
      </c>
      <c r="K79" s="103" t="s">
        <v>86</v>
      </c>
      <c r="L79" s="103" t="s">
        <v>90</v>
      </c>
      <c r="M79" s="103" t="s">
        <v>665</v>
      </c>
      <c r="N79" s="103" t="s">
        <v>91</v>
      </c>
    </row>
    <row r="80" spans="1:14" x14ac:dyDescent="0.25">
      <c r="A80" s="103" t="s">
        <v>84</v>
      </c>
      <c r="B80" s="103" t="s">
        <v>85</v>
      </c>
      <c r="C80" s="103" t="s">
        <v>23</v>
      </c>
      <c r="D80" s="103" t="str">
        <f>_xlfn.CONCAT(Tableau3[[#This Row],[N.Star]]," ",Tableau3[[#This Row],[Const.]])</f>
        <v>RT Aur</v>
      </c>
      <c r="E80" s="104">
        <v>43494.49</v>
      </c>
      <c r="F80" s="104">
        <f>Tableau3[[#This Row],[ToM(+2400000)]]+2400000</f>
        <v>2443494.4900000002</v>
      </c>
      <c r="G80" s="105">
        <v>0.1</v>
      </c>
      <c r="H80" s="104" t="s">
        <v>24</v>
      </c>
      <c r="I80" s="103" t="s">
        <v>98</v>
      </c>
      <c r="J80" s="103" t="s">
        <v>26</v>
      </c>
      <c r="K80" s="103" t="s">
        <v>99</v>
      </c>
      <c r="L80" s="103" t="s">
        <v>90</v>
      </c>
      <c r="M80" s="103" t="s">
        <v>665</v>
      </c>
      <c r="N80" s="103" t="s">
        <v>91</v>
      </c>
    </row>
    <row r="81" spans="1:14" x14ac:dyDescent="0.25">
      <c r="A81" s="103" t="s">
        <v>84</v>
      </c>
      <c r="B81" s="103" t="s">
        <v>85</v>
      </c>
      <c r="C81" s="103" t="s">
        <v>23</v>
      </c>
      <c r="D81" s="103" t="str">
        <f>_xlfn.CONCAT(Tableau3[[#This Row],[N.Star]]," ",Tableau3[[#This Row],[Const.]])</f>
        <v>RT Aur</v>
      </c>
      <c r="E81" s="104">
        <v>43535.54</v>
      </c>
      <c r="F81" s="104">
        <f>Tableau3[[#This Row],[ToM(+2400000)]]+2400000</f>
        <v>2443535.54</v>
      </c>
      <c r="G81" s="105">
        <v>0.15</v>
      </c>
      <c r="H81" s="106" t="s">
        <v>24</v>
      </c>
      <c r="I81" s="103" t="s">
        <v>47</v>
      </c>
      <c r="J81" s="103" t="s">
        <v>26</v>
      </c>
      <c r="K81" s="103" t="s">
        <v>43</v>
      </c>
      <c r="L81" s="103" t="s">
        <v>44</v>
      </c>
      <c r="M81" s="103" t="s">
        <v>665</v>
      </c>
      <c r="N81" s="103"/>
    </row>
    <row r="82" spans="1:14" x14ac:dyDescent="0.25">
      <c r="A82" s="103" t="s">
        <v>84</v>
      </c>
      <c r="B82" s="103" t="s">
        <v>85</v>
      </c>
      <c r="C82" s="103" t="s">
        <v>23</v>
      </c>
      <c r="D82" s="103" t="str">
        <f>_xlfn.CONCAT(Tableau3[[#This Row],[N.Star]]," ",Tableau3[[#This Row],[Const.]])</f>
        <v>RT Aur</v>
      </c>
      <c r="E82" s="104">
        <v>43546.79</v>
      </c>
      <c r="F82" s="104">
        <f>Tableau3[[#This Row],[ToM(+2400000)]]+2400000</f>
        <v>2443546.79</v>
      </c>
      <c r="G82" s="105">
        <v>0.1</v>
      </c>
      <c r="H82" s="106" t="s">
        <v>24</v>
      </c>
      <c r="I82" s="103" t="s">
        <v>54</v>
      </c>
      <c r="J82" s="103" t="s">
        <v>26</v>
      </c>
      <c r="K82" s="103" t="s">
        <v>86</v>
      </c>
      <c r="L82" s="103" t="s">
        <v>87</v>
      </c>
      <c r="M82" s="103" t="s">
        <v>665</v>
      </c>
      <c r="N82" s="103"/>
    </row>
    <row r="83" spans="1:14" x14ac:dyDescent="0.25">
      <c r="A83" s="103" t="s">
        <v>84</v>
      </c>
      <c r="B83" s="103" t="s">
        <v>85</v>
      </c>
      <c r="C83" s="103" t="s">
        <v>23</v>
      </c>
      <c r="D83" s="103" t="str">
        <f>_xlfn.CONCAT(Tableau3[[#This Row],[N.Star]]," ",Tableau3[[#This Row],[Const.]])</f>
        <v>RT Aur</v>
      </c>
      <c r="E83" s="104">
        <v>43550.37</v>
      </c>
      <c r="F83" s="104">
        <f>Tableau3[[#This Row],[ToM(+2400000)]]+2400000</f>
        <v>2443550.37</v>
      </c>
      <c r="G83" s="105">
        <v>0.15</v>
      </c>
      <c r="H83" s="106" t="s">
        <v>24</v>
      </c>
      <c r="I83" s="103" t="s">
        <v>100</v>
      </c>
      <c r="J83" s="103" t="s">
        <v>26</v>
      </c>
      <c r="K83" s="103" t="s">
        <v>43</v>
      </c>
      <c r="L83" s="103" t="s">
        <v>44</v>
      </c>
      <c r="M83" s="103" t="s">
        <v>665</v>
      </c>
      <c r="N83" s="103"/>
    </row>
    <row r="84" spans="1:14" x14ac:dyDescent="0.25">
      <c r="A84" s="103" t="s">
        <v>84</v>
      </c>
      <c r="B84" s="103" t="s">
        <v>85</v>
      </c>
      <c r="C84" s="103" t="s">
        <v>23</v>
      </c>
      <c r="D84" s="103" t="str">
        <f>_xlfn.CONCAT(Tableau3[[#This Row],[N.Star]]," ",Tableau3[[#This Row],[Const.]])</f>
        <v>RT Aur</v>
      </c>
      <c r="E84" s="104">
        <v>43550.37</v>
      </c>
      <c r="F84" s="104">
        <f>Tableau3[[#This Row],[ToM(+2400000)]]+2400000</f>
        <v>2443550.37</v>
      </c>
      <c r="G84" s="105">
        <v>0.19</v>
      </c>
      <c r="H84" s="106" t="s">
        <v>24</v>
      </c>
      <c r="I84" s="103" t="s">
        <v>100</v>
      </c>
      <c r="J84" s="103" t="s">
        <v>26</v>
      </c>
      <c r="K84" s="103" t="s">
        <v>86</v>
      </c>
      <c r="L84" s="103" t="s">
        <v>87</v>
      </c>
      <c r="M84" s="103" t="s">
        <v>665</v>
      </c>
      <c r="N84" s="103"/>
    </row>
    <row r="85" spans="1:14" x14ac:dyDescent="0.25">
      <c r="A85" s="103" t="s">
        <v>84</v>
      </c>
      <c r="B85" s="103" t="s">
        <v>85</v>
      </c>
      <c r="C85" s="103" t="s">
        <v>23</v>
      </c>
      <c r="D85" s="103" t="str">
        <f>_xlfn.CONCAT(Tableau3[[#This Row],[N.Star]]," ",Tableau3[[#This Row],[Const.]])</f>
        <v>RT Aur</v>
      </c>
      <c r="E85" s="104">
        <v>43554.14</v>
      </c>
      <c r="F85" s="104">
        <f>Tableau3[[#This Row],[ToM(+2400000)]]+2400000</f>
        <v>2443554.14</v>
      </c>
      <c r="G85" s="105">
        <v>0.15</v>
      </c>
      <c r="H85" s="104" t="s">
        <v>24</v>
      </c>
      <c r="I85" s="103" t="s">
        <v>101</v>
      </c>
      <c r="J85" s="103" t="s">
        <v>26</v>
      </c>
      <c r="K85" s="103" t="s">
        <v>86</v>
      </c>
      <c r="L85" s="103" t="s">
        <v>90</v>
      </c>
      <c r="M85" s="103" t="s">
        <v>665</v>
      </c>
      <c r="N85" s="103" t="s">
        <v>91</v>
      </c>
    </row>
    <row r="86" spans="1:14" x14ac:dyDescent="0.25">
      <c r="A86" s="103" t="s">
        <v>84</v>
      </c>
      <c r="B86" s="103" t="s">
        <v>85</v>
      </c>
      <c r="C86" s="103" t="s">
        <v>23</v>
      </c>
      <c r="D86" s="103" t="str">
        <f>_xlfn.CONCAT(Tableau3[[#This Row],[N.Star]]," ",Tableau3[[#This Row],[Const.]])</f>
        <v>RT Aur</v>
      </c>
      <c r="E86" s="104">
        <v>43569.24</v>
      </c>
      <c r="F86" s="104">
        <f>Tableau3[[#This Row],[ToM(+2400000)]]+2400000</f>
        <v>2443569.2400000002</v>
      </c>
      <c r="G86" s="105">
        <v>0.15</v>
      </c>
      <c r="H86" s="104" t="s">
        <v>24</v>
      </c>
      <c r="I86" s="103" t="s">
        <v>102</v>
      </c>
      <c r="J86" s="103" t="s">
        <v>26</v>
      </c>
      <c r="K86" s="103" t="s">
        <v>86</v>
      </c>
      <c r="L86" s="103" t="s">
        <v>90</v>
      </c>
      <c r="M86" s="103" t="s">
        <v>665</v>
      </c>
      <c r="N86" s="103" t="s">
        <v>91</v>
      </c>
    </row>
    <row r="87" spans="1:14" x14ac:dyDescent="0.25">
      <c r="A87" s="103" t="s">
        <v>84</v>
      </c>
      <c r="B87" s="103" t="s">
        <v>85</v>
      </c>
      <c r="C87" s="103" t="s">
        <v>23</v>
      </c>
      <c r="D87" s="103" t="str">
        <f>_xlfn.CONCAT(Tableau3[[#This Row],[N.Star]]," ",Tableau3[[#This Row],[Const.]])</f>
        <v>RT Aur</v>
      </c>
      <c r="E87" s="104">
        <v>43569.24</v>
      </c>
      <c r="F87" s="104">
        <f>Tableau3[[#This Row],[ToM(+2400000)]]+2400000</f>
        <v>2443569.2400000002</v>
      </c>
      <c r="G87" s="105">
        <v>0.1</v>
      </c>
      <c r="H87" s="106" t="s">
        <v>24</v>
      </c>
      <c r="I87" s="103" t="s">
        <v>102</v>
      </c>
      <c r="J87" s="103" t="s">
        <v>26</v>
      </c>
      <c r="K87" s="103" t="s">
        <v>86</v>
      </c>
      <c r="L87" s="103" t="s">
        <v>87</v>
      </c>
      <c r="M87" s="103" t="s">
        <v>665</v>
      </c>
      <c r="N87" s="103"/>
    </row>
    <row r="88" spans="1:14" x14ac:dyDescent="0.25">
      <c r="A88" s="103" t="s">
        <v>84</v>
      </c>
      <c r="B88" s="103" t="s">
        <v>85</v>
      </c>
      <c r="C88" s="103" t="s">
        <v>23</v>
      </c>
      <c r="D88" s="103" t="str">
        <f>_xlfn.CONCAT(Tableau3[[#This Row],[N.Star]]," ",Tableau3[[#This Row],[Const.]])</f>
        <v>RT Aur</v>
      </c>
      <c r="E88" s="104">
        <v>43572.81</v>
      </c>
      <c r="F88" s="104">
        <f>Tableau3[[#This Row],[ToM(+2400000)]]+2400000</f>
        <v>2443572.81</v>
      </c>
      <c r="G88" s="105">
        <v>0.1</v>
      </c>
      <c r="H88" s="106" t="s">
        <v>24</v>
      </c>
      <c r="I88" s="103" t="s">
        <v>103</v>
      </c>
      <c r="J88" s="103" t="s">
        <v>26</v>
      </c>
      <c r="K88" s="103" t="s">
        <v>86</v>
      </c>
      <c r="L88" s="103" t="s">
        <v>87</v>
      </c>
      <c r="M88" s="103" t="s">
        <v>665</v>
      </c>
      <c r="N88" s="103"/>
    </row>
    <row r="89" spans="1:14" x14ac:dyDescent="0.25">
      <c r="A89" s="103" t="s">
        <v>84</v>
      </c>
      <c r="B89" s="103" t="s">
        <v>85</v>
      </c>
      <c r="C89" s="103" t="s">
        <v>23</v>
      </c>
      <c r="D89" s="103" t="str">
        <f>_xlfn.CONCAT(Tableau3[[#This Row],[N.Star]]," ",Tableau3[[#This Row],[Const.]])</f>
        <v>RT Aur</v>
      </c>
      <c r="E89" s="104">
        <v>43606.37</v>
      </c>
      <c r="F89" s="104">
        <f>Tableau3[[#This Row],[ToM(+2400000)]]+2400000</f>
        <v>2443606.37</v>
      </c>
      <c r="G89" s="105">
        <v>0.08</v>
      </c>
      <c r="H89" s="106" t="s">
        <v>24</v>
      </c>
      <c r="I89" s="103" t="s">
        <v>38</v>
      </c>
      <c r="J89" s="103" t="s">
        <v>26</v>
      </c>
      <c r="K89" s="103" t="s">
        <v>27</v>
      </c>
      <c r="L89" s="103" t="s">
        <v>27</v>
      </c>
      <c r="M89" s="103" t="s">
        <v>665</v>
      </c>
      <c r="N89" s="103"/>
    </row>
    <row r="90" spans="1:14" x14ac:dyDescent="0.25">
      <c r="A90" s="103" t="s">
        <v>84</v>
      </c>
      <c r="B90" s="103" t="s">
        <v>85</v>
      </c>
      <c r="C90" s="103" t="s">
        <v>23</v>
      </c>
      <c r="D90" s="103" t="str">
        <f>_xlfn.CONCAT(Tableau3[[#This Row],[N.Star]]," ",Tableau3[[#This Row],[Const.]])</f>
        <v>RT Aur</v>
      </c>
      <c r="E90" s="104">
        <v>44031.31</v>
      </c>
      <c r="F90" s="104">
        <f>Tableau3[[#This Row],[ToM(+2400000)]]+2400000</f>
        <v>2444031.31</v>
      </c>
      <c r="G90" s="105">
        <v>0.15</v>
      </c>
      <c r="H90" s="106" t="s">
        <v>24</v>
      </c>
      <c r="I90" s="103" t="s">
        <v>55</v>
      </c>
      <c r="J90" s="103" t="s">
        <v>26</v>
      </c>
      <c r="K90" s="103" t="s">
        <v>104</v>
      </c>
      <c r="L90" s="103" t="s">
        <v>105</v>
      </c>
      <c r="M90" s="103" t="s">
        <v>665</v>
      </c>
      <c r="N90" s="103"/>
    </row>
    <row r="91" spans="1:14" x14ac:dyDescent="0.25">
      <c r="A91" s="103" t="s">
        <v>84</v>
      </c>
      <c r="B91" s="103" t="s">
        <v>85</v>
      </c>
      <c r="C91" s="103" t="s">
        <v>23</v>
      </c>
      <c r="D91" s="103" t="str">
        <f>_xlfn.CONCAT(Tableau3[[#This Row],[N.Star]]," ",Tableau3[[#This Row],[Const.]])</f>
        <v>RT Aur</v>
      </c>
      <c r="E91" s="104">
        <v>44080.02</v>
      </c>
      <c r="F91" s="104">
        <f>Tableau3[[#This Row],[ToM(+2400000)]]+2400000</f>
        <v>2444080.02</v>
      </c>
      <c r="G91" s="105">
        <v>0.3</v>
      </c>
      <c r="H91" s="106" t="s">
        <v>24</v>
      </c>
      <c r="I91" s="103" t="s">
        <v>100</v>
      </c>
      <c r="J91" s="103" t="s">
        <v>26</v>
      </c>
      <c r="K91" s="103" t="s">
        <v>106</v>
      </c>
      <c r="L91" s="103" t="s">
        <v>107</v>
      </c>
      <c r="M91" s="103" t="s">
        <v>665</v>
      </c>
      <c r="N91" s="103"/>
    </row>
    <row r="92" spans="1:14" x14ac:dyDescent="0.25">
      <c r="A92" s="103" t="s">
        <v>84</v>
      </c>
      <c r="B92" s="103" t="s">
        <v>85</v>
      </c>
      <c r="C92" s="103" t="s">
        <v>23</v>
      </c>
      <c r="D92" s="103" t="str">
        <f>_xlfn.CONCAT(Tableau3[[#This Row],[N.Star]]," ",Tableau3[[#This Row],[Const.]])</f>
        <v>RT Aur</v>
      </c>
      <c r="E92" s="104">
        <v>44240.26</v>
      </c>
      <c r="F92" s="104">
        <f>Tableau3[[#This Row],[ToM(+2400000)]]+2400000</f>
        <v>2444240.2599999998</v>
      </c>
      <c r="G92" s="105">
        <v>0.1</v>
      </c>
      <c r="H92" s="106" t="s">
        <v>24</v>
      </c>
      <c r="I92" s="103" t="s">
        <v>108</v>
      </c>
      <c r="J92" s="103" t="s">
        <v>26</v>
      </c>
      <c r="K92" s="103" t="s">
        <v>86</v>
      </c>
      <c r="L92" s="103" t="s">
        <v>87</v>
      </c>
      <c r="M92" s="103" t="s">
        <v>665</v>
      </c>
      <c r="N92" s="103"/>
    </row>
    <row r="93" spans="1:14" x14ac:dyDescent="0.25">
      <c r="A93" s="103" t="s">
        <v>84</v>
      </c>
      <c r="B93" s="103" t="s">
        <v>85</v>
      </c>
      <c r="C93" s="103" t="s">
        <v>23</v>
      </c>
      <c r="D93" s="103" t="str">
        <f>_xlfn.CONCAT(Tableau3[[#This Row],[N.Star]]," ",Tableau3[[#This Row],[Const.]])</f>
        <v>RT Aur</v>
      </c>
      <c r="E93" s="104">
        <v>44251.35</v>
      </c>
      <c r="F93" s="104">
        <f>Tableau3[[#This Row],[ToM(+2400000)]]+2400000</f>
        <v>2444251.35</v>
      </c>
      <c r="G93" s="105">
        <v>0.1</v>
      </c>
      <c r="H93" s="104" t="s">
        <v>24</v>
      </c>
      <c r="I93" s="103" t="s">
        <v>25</v>
      </c>
      <c r="J93" s="103" t="s">
        <v>26</v>
      </c>
      <c r="K93" s="103" t="s">
        <v>109</v>
      </c>
      <c r="L93" s="103" t="s">
        <v>90</v>
      </c>
      <c r="M93" s="103" t="s">
        <v>665</v>
      </c>
      <c r="N93" s="103" t="s">
        <v>91</v>
      </c>
    </row>
    <row r="94" spans="1:14" x14ac:dyDescent="0.25">
      <c r="A94" s="103" t="s">
        <v>84</v>
      </c>
      <c r="B94" s="103" t="s">
        <v>85</v>
      </c>
      <c r="C94" s="103" t="s">
        <v>23</v>
      </c>
      <c r="D94" s="103" t="str">
        <f>_xlfn.CONCAT(Tableau3[[#This Row],[N.Star]]," ",Tableau3[[#This Row],[Const.]])</f>
        <v>RT Aur</v>
      </c>
      <c r="E94" s="104">
        <v>44266.35</v>
      </c>
      <c r="F94" s="104">
        <f>Tableau3[[#This Row],[ToM(+2400000)]]+2400000</f>
        <v>2444266.35</v>
      </c>
      <c r="G94" s="105">
        <v>0.1</v>
      </c>
      <c r="H94" s="104" t="s">
        <v>24</v>
      </c>
      <c r="I94" s="103" t="s">
        <v>25</v>
      </c>
      <c r="J94" s="103" t="s">
        <v>26</v>
      </c>
      <c r="K94" s="103" t="s">
        <v>109</v>
      </c>
      <c r="L94" s="103" t="s">
        <v>90</v>
      </c>
      <c r="M94" s="103" t="s">
        <v>665</v>
      </c>
      <c r="N94" s="103" t="s">
        <v>91</v>
      </c>
    </row>
    <row r="95" spans="1:14" x14ac:dyDescent="0.25">
      <c r="A95" s="103" t="s">
        <v>84</v>
      </c>
      <c r="B95" s="103" t="s">
        <v>85</v>
      </c>
      <c r="C95" s="103" t="s">
        <v>23</v>
      </c>
      <c r="D95" s="103" t="str">
        <f>_xlfn.CONCAT(Tableau3[[#This Row],[N.Star]]," ",Tableau3[[#This Row],[Const.]])</f>
        <v>RT Aur</v>
      </c>
      <c r="E95" s="104">
        <v>44296.160000000003</v>
      </c>
      <c r="F95" s="104">
        <f>Tableau3[[#This Row],[ToM(+2400000)]]+2400000</f>
        <v>2444296.16</v>
      </c>
      <c r="G95" s="105">
        <v>0.1</v>
      </c>
      <c r="H95" s="106" t="s">
        <v>24</v>
      </c>
      <c r="I95" s="103" t="s">
        <v>110</v>
      </c>
      <c r="J95" s="103" t="s">
        <v>26</v>
      </c>
      <c r="K95" s="103" t="s">
        <v>86</v>
      </c>
      <c r="L95" s="103" t="s">
        <v>87</v>
      </c>
      <c r="M95" s="103" t="s">
        <v>665</v>
      </c>
      <c r="N95" s="103"/>
    </row>
    <row r="96" spans="1:14" x14ac:dyDescent="0.25">
      <c r="A96" s="103" t="s">
        <v>84</v>
      </c>
      <c r="B96" s="103" t="s">
        <v>85</v>
      </c>
      <c r="C96" s="103" t="s">
        <v>23</v>
      </c>
      <c r="D96" s="103" t="str">
        <f>_xlfn.CONCAT(Tableau3[[#This Row],[N.Star]]," ",Tableau3[[#This Row],[Const.]])</f>
        <v>RT Aur</v>
      </c>
      <c r="E96" s="104">
        <v>44430.343999999997</v>
      </c>
      <c r="F96" s="104">
        <f>Tableau3[[#This Row],[ToM(+2400000)]]+2400000</f>
        <v>2444430.344</v>
      </c>
      <c r="G96" s="105">
        <v>0.15</v>
      </c>
      <c r="H96" s="104" t="s">
        <v>24</v>
      </c>
      <c r="I96" s="103" t="s">
        <v>25</v>
      </c>
      <c r="J96" s="103" t="s">
        <v>26</v>
      </c>
      <c r="K96" s="103" t="s">
        <v>86</v>
      </c>
      <c r="L96" s="103" t="s">
        <v>90</v>
      </c>
      <c r="M96" s="103" t="s">
        <v>665</v>
      </c>
      <c r="N96" s="103" t="s">
        <v>91</v>
      </c>
    </row>
    <row r="97" spans="1:14" x14ac:dyDescent="0.25">
      <c r="A97" s="103" t="s">
        <v>84</v>
      </c>
      <c r="B97" s="103" t="s">
        <v>85</v>
      </c>
      <c r="C97" s="103" t="s">
        <v>23</v>
      </c>
      <c r="D97" s="103" t="str">
        <f>_xlfn.CONCAT(Tableau3[[#This Row],[N.Star]]," ",Tableau3[[#This Row],[Const.]])</f>
        <v>RT Aur</v>
      </c>
      <c r="E97" s="104">
        <v>44430.43</v>
      </c>
      <c r="F97" s="104">
        <f>Tableau3[[#This Row],[ToM(+2400000)]]+2400000</f>
        <v>2444430.4300000002</v>
      </c>
      <c r="G97" s="105">
        <v>0.1</v>
      </c>
      <c r="H97" s="106" t="s">
        <v>24</v>
      </c>
      <c r="I97" s="103" t="s">
        <v>25</v>
      </c>
      <c r="J97" s="103" t="s">
        <v>26</v>
      </c>
      <c r="K97" s="103" t="s">
        <v>86</v>
      </c>
      <c r="L97" s="103" t="s">
        <v>87</v>
      </c>
      <c r="M97" s="103" t="s">
        <v>665</v>
      </c>
      <c r="N97" s="103"/>
    </row>
    <row r="98" spans="1:14" x14ac:dyDescent="0.25">
      <c r="A98" s="103" t="s">
        <v>84</v>
      </c>
      <c r="B98" s="103" t="s">
        <v>85</v>
      </c>
      <c r="C98" s="103" t="s">
        <v>23</v>
      </c>
      <c r="D98" s="103" t="str">
        <f>_xlfn.CONCAT(Tableau3[[#This Row],[N.Star]]," ",Tableau3[[#This Row],[Const.]])</f>
        <v>RT Aur</v>
      </c>
      <c r="E98" s="104">
        <v>44639.27</v>
      </c>
      <c r="F98" s="104">
        <f>Tableau3[[#This Row],[ToM(+2400000)]]+2400000</f>
        <v>2444639.27</v>
      </c>
      <c r="G98" s="105">
        <v>0.1</v>
      </c>
      <c r="H98" s="106" t="s">
        <v>24</v>
      </c>
      <c r="I98" s="103" t="s">
        <v>108</v>
      </c>
      <c r="J98" s="103" t="s">
        <v>26</v>
      </c>
      <c r="K98" s="103" t="s">
        <v>86</v>
      </c>
      <c r="L98" s="103" t="s">
        <v>87</v>
      </c>
      <c r="M98" s="103" t="s">
        <v>665</v>
      </c>
      <c r="N98" s="103"/>
    </row>
    <row r="99" spans="1:14" x14ac:dyDescent="0.25">
      <c r="A99" s="103" t="s">
        <v>84</v>
      </c>
      <c r="B99" s="103" t="s">
        <v>85</v>
      </c>
      <c r="C99" s="103" t="s">
        <v>23</v>
      </c>
      <c r="D99" s="103" t="str">
        <f>_xlfn.CONCAT(Tableau3[[#This Row],[N.Star]]," ",Tableau3[[#This Row],[Const.]])</f>
        <v>RT Aur</v>
      </c>
      <c r="E99" s="104">
        <v>45004.6</v>
      </c>
      <c r="F99" s="104">
        <f>Tableau3[[#This Row],[ToM(+2400000)]]+2400000</f>
        <v>2445004.6</v>
      </c>
      <c r="G99" s="105">
        <v>0.1</v>
      </c>
      <c r="H99" s="106" t="s">
        <v>24</v>
      </c>
      <c r="I99" s="103" t="s">
        <v>111</v>
      </c>
      <c r="J99" s="103" t="s">
        <v>26</v>
      </c>
      <c r="K99" s="103" t="s">
        <v>86</v>
      </c>
      <c r="L99" s="103" t="s">
        <v>87</v>
      </c>
      <c r="M99" s="103" t="s">
        <v>665</v>
      </c>
      <c r="N99" s="103"/>
    </row>
    <row r="100" spans="1:14" x14ac:dyDescent="0.25">
      <c r="A100" s="103" t="s">
        <v>84</v>
      </c>
      <c r="B100" s="103" t="s">
        <v>85</v>
      </c>
      <c r="C100" s="103" t="s">
        <v>23</v>
      </c>
      <c r="D100" s="103" t="str">
        <f>_xlfn.CONCAT(Tableau3[[#This Row],[N.Star]]," ",Tableau3[[#This Row],[Const.]])</f>
        <v>RT Aur</v>
      </c>
      <c r="E100" s="104">
        <v>45746.37</v>
      </c>
      <c r="F100" s="104">
        <f>Tableau3[[#This Row],[ToM(+2400000)]]+2400000</f>
        <v>2445746.37</v>
      </c>
      <c r="G100" s="105">
        <v>0.2</v>
      </c>
      <c r="H100" s="104" t="s">
        <v>24</v>
      </c>
      <c r="I100" s="103" t="s">
        <v>25</v>
      </c>
      <c r="J100" s="103" t="s">
        <v>26</v>
      </c>
      <c r="K100" s="103" t="s">
        <v>109</v>
      </c>
      <c r="L100" s="103" t="s">
        <v>90</v>
      </c>
      <c r="M100" s="103" t="s">
        <v>665</v>
      </c>
      <c r="N100" s="103" t="s">
        <v>91</v>
      </c>
    </row>
    <row r="101" spans="1:14" x14ac:dyDescent="0.25">
      <c r="A101" s="103" t="s">
        <v>84</v>
      </c>
      <c r="B101" s="103" t="s">
        <v>85</v>
      </c>
      <c r="C101" s="103" t="s">
        <v>23</v>
      </c>
      <c r="D101" s="103" t="str">
        <f>_xlfn.CONCAT(Tableau3[[#This Row],[N.Star]]," ",Tableau3[[#This Row],[Const.]])</f>
        <v>RT Aur</v>
      </c>
      <c r="E101" s="104">
        <v>46119.3</v>
      </c>
      <c r="F101" s="104">
        <f>Tableau3[[#This Row],[ToM(+2400000)]]+2400000</f>
        <v>2446119.2999999998</v>
      </c>
      <c r="G101" s="105">
        <v>0.1</v>
      </c>
      <c r="H101" s="106" t="s">
        <v>24</v>
      </c>
      <c r="I101" s="103" t="s">
        <v>112</v>
      </c>
      <c r="J101" s="103" t="s">
        <v>26</v>
      </c>
      <c r="K101" s="103" t="s">
        <v>113</v>
      </c>
      <c r="L101" s="103" t="s">
        <v>114</v>
      </c>
      <c r="M101" s="103" t="s">
        <v>665</v>
      </c>
      <c r="N101" s="103"/>
    </row>
    <row r="102" spans="1:14" x14ac:dyDescent="0.25">
      <c r="A102" s="103" t="s">
        <v>84</v>
      </c>
      <c r="B102" s="103" t="s">
        <v>85</v>
      </c>
      <c r="C102" s="103" t="s">
        <v>23</v>
      </c>
      <c r="D102" s="103" t="str">
        <f>_xlfn.CONCAT(Tableau3[[#This Row],[N.Star]]," ",Tableau3[[#This Row],[Const.]])</f>
        <v>RT Aur</v>
      </c>
      <c r="E102" s="104">
        <v>46454.91</v>
      </c>
      <c r="F102" s="104">
        <f>Tableau3[[#This Row],[ToM(+2400000)]]+2400000</f>
        <v>2446454.91</v>
      </c>
      <c r="G102" s="105">
        <v>0.1</v>
      </c>
      <c r="H102" s="106" t="s">
        <v>24</v>
      </c>
      <c r="I102" s="103" t="s">
        <v>112</v>
      </c>
      <c r="J102" s="103" t="s">
        <v>26</v>
      </c>
      <c r="K102" s="103" t="s">
        <v>113</v>
      </c>
      <c r="L102" s="103" t="s">
        <v>114</v>
      </c>
      <c r="M102" s="103" t="s">
        <v>665</v>
      </c>
      <c r="N102" s="103"/>
    </row>
    <row r="103" spans="1:14" x14ac:dyDescent="0.25">
      <c r="A103" s="103" t="s">
        <v>84</v>
      </c>
      <c r="B103" s="103" t="s">
        <v>85</v>
      </c>
      <c r="C103" s="103" t="s">
        <v>23</v>
      </c>
      <c r="D103" s="103" t="str">
        <f>_xlfn.CONCAT(Tableau3[[#This Row],[N.Star]]," ",Tableau3[[#This Row],[Const.]])</f>
        <v>RT Aur</v>
      </c>
      <c r="E103" s="104">
        <v>46798.42</v>
      </c>
      <c r="F103" s="104">
        <f>Tableau3[[#This Row],[ToM(+2400000)]]+2400000</f>
        <v>2446798.42</v>
      </c>
      <c r="G103" s="105">
        <v>0.15</v>
      </c>
      <c r="H103" s="104" t="s">
        <v>24</v>
      </c>
      <c r="I103" s="103" t="s">
        <v>25</v>
      </c>
      <c r="J103" s="103" t="s">
        <v>26</v>
      </c>
      <c r="K103" s="103" t="s">
        <v>109</v>
      </c>
      <c r="L103" s="103" t="s">
        <v>90</v>
      </c>
      <c r="M103" s="103" t="s">
        <v>665</v>
      </c>
      <c r="N103" s="103" t="s">
        <v>91</v>
      </c>
    </row>
    <row r="104" spans="1:14" x14ac:dyDescent="0.25">
      <c r="A104" s="103" t="s">
        <v>84</v>
      </c>
      <c r="B104" s="103" t="s">
        <v>85</v>
      </c>
      <c r="C104" s="103" t="s">
        <v>23</v>
      </c>
      <c r="D104" s="103" t="str">
        <f>_xlfn.CONCAT(Tableau3[[#This Row],[N.Star]]," ",Tableau3[[#This Row],[Const.]])</f>
        <v>RT Aur</v>
      </c>
      <c r="E104" s="104">
        <v>46846.42</v>
      </c>
      <c r="F104" s="104">
        <f>Tableau3[[#This Row],[ToM(+2400000)]]+2400000</f>
        <v>2446846.42</v>
      </c>
      <c r="G104" s="105">
        <v>0.1</v>
      </c>
      <c r="H104" s="106" t="s">
        <v>24</v>
      </c>
      <c r="I104" s="103" t="s">
        <v>112</v>
      </c>
      <c r="J104" s="103" t="s">
        <v>26</v>
      </c>
      <c r="K104" s="103" t="s">
        <v>113</v>
      </c>
      <c r="L104" s="103" t="s">
        <v>114</v>
      </c>
      <c r="M104" s="103" t="s">
        <v>665</v>
      </c>
      <c r="N104" s="103"/>
    </row>
    <row r="105" spans="1:14" x14ac:dyDescent="0.25">
      <c r="A105" s="103" t="s">
        <v>84</v>
      </c>
      <c r="B105" s="103" t="s">
        <v>85</v>
      </c>
      <c r="C105" s="103" t="s">
        <v>23</v>
      </c>
      <c r="D105" s="103" t="str">
        <f>_xlfn.CONCAT(Tableau3[[#This Row],[N.Star]]," ",Tableau3[[#This Row],[Const.]])</f>
        <v>RT Aur</v>
      </c>
      <c r="E105" s="104">
        <v>47219.19</v>
      </c>
      <c r="F105" s="104">
        <f>Tableau3[[#This Row],[ToM(+2400000)]]+2400000</f>
        <v>2447219.19</v>
      </c>
      <c r="G105" s="105">
        <v>0.15</v>
      </c>
      <c r="H105" s="104" t="s">
        <v>24</v>
      </c>
      <c r="I105" s="103" t="s">
        <v>115</v>
      </c>
      <c r="J105" s="103" t="s">
        <v>26</v>
      </c>
      <c r="K105" s="103" t="s">
        <v>113</v>
      </c>
      <c r="L105" s="103" t="s">
        <v>90</v>
      </c>
      <c r="M105" s="103" t="s">
        <v>665</v>
      </c>
      <c r="N105" s="103" t="s">
        <v>91</v>
      </c>
    </row>
    <row r="106" spans="1:14" x14ac:dyDescent="0.25">
      <c r="A106" s="103" t="s">
        <v>84</v>
      </c>
      <c r="B106" s="103" t="s">
        <v>85</v>
      </c>
      <c r="C106" s="103" t="s">
        <v>23</v>
      </c>
      <c r="D106" s="103" t="str">
        <f>_xlfn.CONCAT(Tableau3[[#This Row],[N.Star]]," ",Tableau3[[#This Row],[Const.]])</f>
        <v>RT Aur</v>
      </c>
      <c r="E106" s="104">
        <v>47219.19</v>
      </c>
      <c r="F106" s="104">
        <f>Tableau3[[#This Row],[ToM(+2400000)]]+2400000</f>
        <v>2447219.19</v>
      </c>
      <c r="G106" s="105">
        <v>0.1</v>
      </c>
      <c r="H106" s="106" t="s">
        <v>24</v>
      </c>
      <c r="I106" s="103" t="s">
        <v>112</v>
      </c>
      <c r="J106" s="103" t="s">
        <v>26</v>
      </c>
      <c r="K106" s="103" t="s">
        <v>113</v>
      </c>
      <c r="L106" s="103" t="s">
        <v>114</v>
      </c>
      <c r="M106" s="103" t="s">
        <v>665</v>
      </c>
      <c r="N106" s="103"/>
    </row>
    <row r="107" spans="1:14" x14ac:dyDescent="0.25">
      <c r="A107" s="103" t="s">
        <v>84</v>
      </c>
      <c r="B107" s="103" t="s">
        <v>85</v>
      </c>
      <c r="C107" s="103" t="s">
        <v>23</v>
      </c>
      <c r="D107" s="103" t="str">
        <f>_xlfn.CONCAT(Tableau3[[#This Row],[N.Star]]," ",Tableau3[[#This Row],[Const.]])</f>
        <v>RT Aur</v>
      </c>
      <c r="E107" s="104">
        <v>47528.710099999997</v>
      </c>
      <c r="F107" s="104">
        <f>Tableau3[[#This Row],[ToM(+2400000)]]+2400000</f>
        <v>2447528.7100999998</v>
      </c>
      <c r="G107" s="105">
        <v>0.05</v>
      </c>
      <c r="H107" s="106" t="s">
        <v>24</v>
      </c>
      <c r="I107" s="103" t="s">
        <v>112</v>
      </c>
      <c r="J107" s="103" t="s">
        <v>26</v>
      </c>
      <c r="K107" s="103" t="s">
        <v>113</v>
      </c>
      <c r="L107" s="103" t="s">
        <v>114</v>
      </c>
      <c r="M107" s="103" t="s">
        <v>665</v>
      </c>
      <c r="N107" s="103"/>
    </row>
    <row r="108" spans="1:14" x14ac:dyDescent="0.25">
      <c r="A108" s="103" t="s">
        <v>84</v>
      </c>
      <c r="B108" s="103" t="s">
        <v>85</v>
      </c>
      <c r="C108" s="103" t="s">
        <v>23</v>
      </c>
      <c r="D108" s="103" t="str">
        <f>_xlfn.CONCAT(Tableau3[[#This Row],[N.Star]]," ",Tableau3[[#This Row],[Const.]])</f>
        <v>RT Aur</v>
      </c>
      <c r="E108" s="104">
        <v>47536.19</v>
      </c>
      <c r="F108" s="104">
        <f>Tableau3[[#This Row],[ToM(+2400000)]]+2400000</f>
        <v>2447536.19</v>
      </c>
      <c r="G108" s="105">
        <v>0.19</v>
      </c>
      <c r="H108" s="106" t="s">
        <v>24</v>
      </c>
      <c r="I108" s="103" t="s">
        <v>116</v>
      </c>
      <c r="J108" s="103" t="s">
        <v>26</v>
      </c>
      <c r="K108" s="103" t="s">
        <v>57</v>
      </c>
      <c r="L108" s="103" t="s">
        <v>59</v>
      </c>
      <c r="M108" s="103" t="s">
        <v>665</v>
      </c>
      <c r="N108" s="103"/>
    </row>
    <row r="109" spans="1:14" x14ac:dyDescent="0.25">
      <c r="A109" s="103" t="s">
        <v>84</v>
      </c>
      <c r="B109" s="103" t="s">
        <v>85</v>
      </c>
      <c r="C109" s="103" t="s">
        <v>23</v>
      </c>
      <c r="D109" s="103" t="str">
        <f>_xlfn.CONCAT(Tableau3[[#This Row],[N.Star]]," ",Tableau3[[#This Row],[Const.]])</f>
        <v>RT Aur</v>
      </c>
      <c r="E109" s="104">
        <v>47889.33</v>
      </c>
      <c r="F109" s="104">
        <f>Tableau3[[#This Row],[ToM(+2400000)]]+2400000</f>
        <v>2447889.33</v>
      </c>
      <c r="G109" s="105">
        <v>0.1</v>
      </c>
      <c r="H109" s="106" t="s">
        <v>24</v>
      </c>
      <c r="I109" s="103" t="s">
        <v>117</v>
      </c>
      <c r="J109" s="103" t="s">
        <v>26</v>
      </c>
      <c r="K109" s="103" t="s">
        <v>118</v>
      </c>
      <c r="L109" s="103" t="s">
        <v>119</v>
      </c>
      <c r="M109" s="103" t="s">
        <v>665</v>
      </c>
      <c r="N109" s="103"/>
    </row>
    <row r="110" spans="1:14" x14ac:dyDescent="0.25">
      <c r="A110" s="103" t="s">
        <v>84</v>
      </c>
      <c r="B110" s="103" t="s">
        <v>85</v>
      </c>
      <c r="C110" s="103" t="s">
        <v>23</v>
      </c>
      <c r="D110" s="103" t="str">
        <f>_xlfn.CONCAT(Tableau3[[#This Row],[N.Star]]," ",Tableau3[[#This Row],[Const.]])</f>
        <v>RT Aur</v>
      </c>
      <c r="E110" s="104">
        <v>47889.95</v>
      </c>
      <c r="F110" s="104">
        <f>Tableau3[[#This Row],[ToM(+2400000)]]+2400000</f>
        <v>2447889.9500000002</v>
      </c>
      <c r="G110" s="105">
        <v>0.15</v>
      </c>
      <c r="H110" s="104" t="s">
        <v>24</v>
      </c>
      <c r="I110" s="103" t="s">
        <v>117</v>
      </c>
      <c r="J110" s="103" t="s">
        <v>26</v>
      </c>
      <c r="K110" s="103" t="s">
        <v>120</v>
      </c>
      <c r="L110" s="103" t="s">
        <v>90</v>
      </c>
      <c r="M110" s="103" t="s">
        <v>665</v>
      </c>
      <c r="N110" s="103" t="s">
        <v>91</v>
      </c>
    </row>
    <row r="111" spans="1:14" x14ac:dyDescent="0.25">
      <c r="A111" s="103" t="s">
        <v>84</v>
      </c>
      <c r="B111" s="103" t="s">
        <v>85</v>
      </c>
      <c r="C111" s="103" t="s">
        <v>23</v>
      </c>
      <c r="D111" s="103" t="str">
        <f>_xlfn.CONCAT(Tableau3[[#This Row],[N.Star]]," ",Tableau3[[#This Row],[Const.]])</f>
        <v>RT Aur</v>
      </c>
      <c r="E111" s="104">
        <v>47890.26</v>
      </c>
      <c r="F111" s="104">
        <f>Tableau3[[#This Row],[ToM(+2400000)]]+2400000</f>
        <v>2447890.2599999998</v>
      </c>
      <c r="G111" s="105">
        <v>0.15</v>
      </c>
      <c r="H111" s="106" t="s">
        <v>24</v>
      </c>
      <c r="I111" s="103" t="s">
        <v>117</v>
      </c>
      <c r="J111" s="103" t="s">
        <v>26</v>
      </c>
      <c r="K111" s="103" t="s">
        <v>104</v>
      </c>
      <c r="L111" s="103" t="s">
        <v>105</v>
      </c>
      <c r="M111" s="103" t="s">
        <v>665</v>
      </c>
      <c r="N111" s="103"/>
    </row>
    <row r="112" spans="1:14" x14ac:dyDescent="0.25">
      <c r="A112" s="103" t="s">
        <v>84</v>
      </c>
      <c r="B112" s="103" t="s">
        <v>85</v>
      </c>
      <c r="C112" s="103" t="s">
        <v>23</v>
      </c>
      <c r="D112" s="103" t="str">
        <f>_xlfn.CONCAT(Tableau3[[#This Row],[N.Star]]," ",Tableau3[[#This Row],[Const.]])</f>
        <v>RT Aur</v>
      </c>
      <c r="E112" s="104">
        <v>48270.66</v>
      </c>
      <c r="F112" s="104">
        <f>Tableau3[[#This Row],[ToM(+2400000)]]+2400000</f>
        <v>2448270.66</v>
      </c>
      <c r="G112" s="105">
        <v>7.0000000000000007E-2</v>
      </c>
      <c r="H112" s="106" t="s">
        <v>24</v>
      </c>
      <c r="I112" s="103" t="s">
        <v>42</v>
      </c>
      <c r="J112" s="103" t="s">
        <v>26</v>
      </c>
      <c r="K112" s="103" t="s">
        <v>62</v>
      </c>
      <c r="L112" s="103" t="s">
        <v>63</v>
      </c>
      <c r="M112" s="103" t="s">
        <v>665</v>
      </c>
      <c r="N112" s="103" t="s">
        <v>121</v>
      </c>
    </row>
    <row r="113" spans="1:14" x14ac:dyDescent="0.25">
      <c r="A113" s="103" t="s">
        <v>84</v>
      </c>
      <c r="B113" s="103" t="s">
        <v>85</v>
      </c>
      <c r="C113" s="103" t="s">
        <v>23</v>
      </c>
      <c r="D113" s="103" t="str">
        <f>_xlfn.CONCAT(Tableau3[[#This Row],[N.Star]]," ",Tableau3[[#This Row],[Const.]])</f>
        <v>RT Aur</v>
      </c>
      <c r="E113" s="104">
        <v>59597.02</v>
      </c>
      <c r="F113" s="104">
        <f>Tableau3[[#This Row],[ToM(+2400000)]]+2400000</f>
        <v>2459597.02</v>
      </c>
      <c r="G113" s="105">
        <v>0.15</v>
      </c>
      <c r="H113" s="106"/>
      <c r="I113" s="103" t="s">
        <v>122</v>
      </c>
      <c r="J113" s="103" t="s">
        <v>26</v>
      </c>
      <c r="K113" s="103" t="s">
        <v>27</v>
      </c>
      <c r="L113" s="103" t="s">
        <v>109</v>
      </c>
      <c r="M113" s="103" t="s">
        <v>665</v>
      </c>
      <c r="N113" s="103"/>
    </row>
    <row r="114" spans="1:14" x14ac:dyDescent="0.25">
      <c r="A114" s="103" t="s">
        <v>84</v>
      </c>
      <c r="B114" s="103" t="s">
        <v>85</v>
      </c>
      <c r="C114" s="103" t="s">
        <v>23</v>
      </c>
      <c r="D114" s="103" t="str">
        <f>_xlfn.CONCAT(Tableau3[[#This Row],[N.Star]]," ",Tableau3[[#This Row],[Const.]])</f>
        <v>RT Aur</v>
      </c>
      <c r="E114" s="104">
        <v>59645.351999999999</v>
      </c>
      <c r="F114" s="104">
        <f>Tableau3[[#This Row],[ToM(+2400000)]]+2400000</f>
        <v>2459645.352</v>
      </c>
      <c r="G114" s="105">
        <v>0.15</v>
      </c>
      <c r="H114" s="106"/>
      <c r="I114" s="103" t="s">
        <v>25</v>
      </c>
      <c r="J114" s="103" t="s">
        <v>26</v>
      </c>
      <c r="K114" s="103" t="s">
        <v>27</v>
      </c>
      <c r="L114" s="103" t="s">
        <v>109</v>
      </c>
      <c r="M114" s="103" t="s">
        <v>665</v>
      </c>
      <c r="N114" s="103"/>
    </row>
    <row r="115" spans="1:14" x14ac:dyDescent="0.25">
      <c r="A115" s="103" t="s">
        <v>84</v>
      </c>
      <c r="B115" s="103" t="s">
        <v>85</v>
      </c>
      <c r="C115" s="103" t="s">
        <v>23</v>
      </c>
      <c r="D115" s="103" t="str">
        <f>_xlfn.CONCAT(Tableau3[[#This Row],[N.Star]]," ",Tableau3[[#This Row],[Const.]])</f>
        <v>RT Aur</v>
      </c>
      <c r="E115" s="104">
        <v>59906.39</v>
      </c>
      <c r="F115" s="104">
        <f>Tableau3[[#This Row],[ToM(+2400000)]]+2400000</f>
        <v>2459906.39</v>
      </c>
      <c r="G115" s="105">
        <v>0.15</v>
      </c>
      <c r="H115" s="106"/>
      <c r="I115" s="103" t="s">
        <v>122</v>
      </c>
      <c r="J115" s="103" t="s">
        <v>26</v>
      </c>
      <c r="K115" s="103" t="s">
        <v>27</v>
      </c>
      <c r="L115" s="103" t="s">
        <v>109</v>
      </c>
      <c r="M115" s="103" t="s">
        <v>665</v>
      </c>
      <c r="N115" s="103"/>
    </row>
    <row r="116" spans="1:14" x14ac:dyDescent="0.25">
      <c r="A116" s="103" t="s">
        <v>84</v>
      </c>
      <c r="B116" s="103" t="s">
        <v>85</v>
      </c>
      <c r="C116" s="103" t="s">
        <v>23</v>
      </c>
      <c r="D116" s="103" t="str">
        <f>_xlfn.CONCAT(Tableau3[[#This Row],[N.Star]]," ",Tableau3[[#This Row],[Const.]])</f>
        <v>RT Aur</v>
      </c>
      <c r="E116" s="104">
        <v>59921.286999999997</v>
      </c>
      <c r="F116" s="104">
        <f>Tableau3[[#This Row],[ToM(+2400000)]]+2400000</f>
        <v>2459921.287</v>
      </c>
      <c r="G116" s="105">
        <v>0.11</v>
      </c>
      <c r="H116" s="106"/>
      <c r="I116" s="103" t="s">
        <v>122</v>
      </c>
      <c r="J116" s="103" t="s">
        <v>26</v>
      </c>
      <c r="K116" s="103" t="s">
        <v>27</v>
      </c>
      <c r="L116" s="103" t="s">
        <v>109</v>
      </c>
      <c r="M116" s="103" t="s">
        <v>665</v>
      </c>
      <c r="N116" s="103"/>
    </row>
    <row r="117" spans="1:14" x14ac:dyDescent="0.25">
      <c r="A117" t="s">
        <v>84</v>
      </c>
      <c r="B117" t="s">
        <v>123</v>
      </c>
      <c r="C117" t="s">
        <v>23</v>
      </c>
      <c r="D117" t="str">
        <f>_xlfn.CONCAT(Tableau3[[#This Row],[N.Star]]," ",Tableau3[[#This Row],[Const.]])</f>
        <v>RX Aur</v>
      </c>
      <c r="E117" s="8">
        <v>43516.160000000003</v>
      </c>
      <c r="F117" s="8">
        <f>Tableau3[[#This Row],[ToM(+2400000)]]+2400000</f>
        <v>2443516.16</v>
      </c>
      <c r="G117" s="34">
        <v>0.15</v>
      </c>
      <c r="H117" s="3" t="s">
        <v>24</v>
      </c>
      <c r="I117" t="s">
        <v>47</v>
      </c>
      <c r="J117" t="s">
        <v>26</v>
      </c>
      <c r="K117" t="s">
        <v>43</v>
      </c>
      <c r="L117" t="s">
        <v>44</v>
      </c>
    </row>
    <row r="118" spans="1:14" x14ac:dyDescent="0.25">
      <c r="A118" t="s">
        <v>84</v>
      </c>
      <c r="B118" t="s">
        <v>123</v>
      </c>
      <c r="C118" t="s">
        <v>23</v>
      </c>
      <c r="D118" t="str">
        <f>_xlfn.CONCAT(Tableau3[[#This Row],[N.Star]]," ",Tableau3[[#This Row],[Const.]])</f>
        <v>RX Aur</v>
      </c>
      <c r="E118" s="8">
        <v>45119.881000000001</v>
      </c>
      <c r="F118" s="8">
        <f>Tableau3[[#This Row],[ToM(+2400000)]]+2400000</f>
        <v>2445119.8810000001</v>
      </c>
      <c r="G118" s="34">
        <v>1.2E-2</v>
      </c>
      <c r="H118" s="3" t="s">
        <v>24</v>
      </c>
      <c r="I118" t="s">
        <v>25</v>
      </c>
      <c r="J118" t="s">
        <v>26</v>
      </c>
      <c r="K118" t="s">
        <v>27</v>
      </c>
      <c r="L118" t="s">
        <v>27</v>
      </c>
      <c r="N118" t="s">
        <v>39</v>
      </c>
    </row>
    <row r="119" spans="1:14" x14ac:dyDescent="0.25">
      <c r="A119" t="s">
        <v>84</v>
      </c>
      <c r="B119" t="s">
        <v>123</v>
      </c>
      <c r="C119" t="s">
        <v>23</v>
      </c>
      <c r="D119" t="str">
        <f>_xlfn.CONCAT(Tableau3[[#This Row],[N.Star]]," ",Tableau3[[#This Row],[Const.]])</f>
        <v>RX Aur</v>
      </c>
      <c r="E119" s="8">
        <v>45282.61</v>
      </c>
      <c r="F119" s="8">
        <f>Tableau3[[#This Row],[ToM(+2400000)]]+2400000</f>
        <v>2445282.61</v>
      </c>
      <c r="G119" s="34">
        <v>1.2E-2</v>
      </c>
      <c r="H119" s="3" t="s">
        <v>24</v>
      </c>
      <c r="I119" t="s">
        <v>25</v>
      </c>
      <c r="J119" t="s">
        <v>26</v>
      </c>
      <c r="K119" t="s">
        <v>27</v>
      </c>
      <c r="L119" t="s">
        <v>27</v>
      </c>
      <c r="N119" t="s">
        <v>39</v>
      </c>
    </row>
    <row r="120" spans="1:14" x14ac:dyDescent="0.25">
      <c r="A120" t="s">
        <v>84</v>
      </c>
      <c r="B120" t="s">
        <v>123</v>
      </c>
      <c r="C120" t="s">
        <v>23</v>
      </c>
      <c r="D120" t="str">
        <f>_xlfn.CONCAT(Tableau3[[#This Row],[N.Star]]," ",Tableau3[[#This Row],[Const.]])</f>
        <v>RX Aur</v>
      </c>
      <c r="E120" s="8">
        <v>59592.875</v>
      </c>
      <c r="F120" s="8">
        <f>Tableau3[[#This Row],[ToM(+2400000)]]+2400000</f>
        <v>2459592.875</v>
      </c>
      <c r="G120" s="34">
        <v>0.1</v>
      </c>
      <c r="H120" s="3" t="s">
        <v>24</v>
      </c>
      <c r="I120" t="s">
        <v>25</v>
      </c>
      <c r="J120" t="s">
        <v>26</v>
      </c>
      <c r="K120" t="s">
        <v>27</v>
      </c>
      <c r="L120" t="s">
        <v>27</v>
      </c>
    </row>
    <row r="121" spans="1:14" x14ac:dyDescent="0.25">
      <c r="A121" t="s">
        <v>84</v>
      </c>
      <c r="B121" t="s">
        <v>123</v>
      </c>
      <c r="C121" t="s">
        <v>23</v>
      </c>
      <c r="D121" t="str">
        <f>_xlfn.CONCAT(Tableau3[[#This Row],[N.Star]]," ",Tableau3[[#This Row],[Const.]])</f>
        <v>RX Aur</v>
      </c>
      <c r="E121" s="8">
        <v>59953.141000000003</v>
      </c>
      <c r="F121" s="8">
        <f>Tableau3[[#This Row],[ToM(+2400000)]]+2400000</f>
        <v>2459953.1409999998</v>
      </c>
      <c r="G121" s="34">
        <v>0.1</v>
      </c>
      <c r="H121" s="3" t="s">
        <v>24</v>
      </c>
      <c r="I121" t="s">
        <v>25</v>
      </c>
      <c r="J121" t="s">
        <v>26</v>
      </c>
      <c r="K121" t="s">
        <v>27</v>
      </c>
      <c r="L121" t="s">
        <v>27</v>
      </c>
    </row>
    <row r="122" spans="1:14" x14ac:dyDescent="0.25">
      <c r="A122" t="s">
        <v>124</v>
      </c>
      <c r="B122" t="s">
        <v>125</v>
      </c>
      <c r="C122" t="s">
        <v>23</v>
      </c>
      <c r="D122" t="str">
        <f>_xlfn.CONCAT(Tableau3[[#This Row],[N.Star]]," ",Tableau3[[#This Row],[Const.]])</f>
        <v>CK Cam</v>
      </c>
      <c r="E122" s="8">
        <v>52763.275999999998</v>
      </c>
      <c r="F122" s="8">
        <f>Tableau3[[#This Row],[ToM(+2400000)]]+2400000</f>
        <v>2452763.2760000001</v>
      </c>
      <c r="G122" s="34">
        <v>3.3000000000000002E-2</v>
      </c>
      <c r="H122" s="3" t="s">
        <v>24</v>
      </c>
      <c r="I122" t="s">
        <v>56</v>
      </c>
      <c r="J122" t="s">
        <v>26</v>
      </c>
      <c r="K122" t="s">
        <v>126</v>
      </c>
      <c r="L122" t="s">
        <v>127</v>
      </c>
    </row>
    <row r="123" spans="1:14" x14ac:dyDescent="0.25">
      <c r="A123" t="s">
        <v>124</v>
      </c>
      <c r="B123" t="s">
        <v>125</v>
      </c>
      <c r="C123" t="s">
        <v>23</v>
      </c>
      <c r="D123" t="str">
        <f>_xlfn.CONCAT(Tableau3[[#This Row],[N.Star]]," ",Tableau3[[#This Row],[Const.]])</f>
        <v>CK Cam</v>
      </c>
      <c r="E123" s="8">
        <v>52964.245999999999</v>
      </c>
      <c r="F123" s="8">
        <f>Tableau3[[#This Row],[ToM(+2400000)]]+2400000</f>
        <v>2452964.2459999998</v>
      </c>
      <c r="G123" s="34">
        <v>7.5999999999999998E-2</v>
      </c>
      <c r="H123" s="3" t="s">
        <v>24</v>
      </c>
      <c r="I123" t="s">
        <v>56</v>
      </c>
      <c r="J123" t="s">
        <v>26</v>
      </c>
      <c r="K123" t="s">
        <v>126</v>
      </c>
      <c r="L123" t="s">
        <v>127</v>
      </c>
    </row>
    <row r="124" spans="1:14" x14ac:dyDescent="0.25">
      <c r="A124" t="s">
        <v>124</v>
      </c>
      <c r="B124" t="s">
        <v>125</v>
      </c>
      <c r="C124" t="s">
        <v>23</v>
      </c>
      <c r="D124" t="str">
        <f>_xlfn.CONCAT(Tableau3[[#This Row],[N.Star]]," ",Tableau3[[#This Row],[Const.]])</f>
        <v>CK Cam</v>
      </c>
      <c r="E124" s="8">
        <v>53376.29</v>
      </c>
      <c r="F124" s="8">
        <f>Tableau3[[#This Row],[ToM(+2400000)]]+2400000</f>
        <v>2453376.29</v>
      </c>
      <c r="G124" s="34">
        <v>0.215</v>
      </c>
      <c r="H124" s="3" t="s">
        <v>24</v>
      </c>
      <c r="I124" t="s">
        <v>56</v>
      </c>
      <c r="J124" t="s">
        <v>26</v>
      </c>
      <c r="K124" t="s">
        <v>126</v>
      </c>
      <c r="L124" t="s">
        <v>127</v>
      </c>
    </row>
    <row r="125" spans="1:14" x14ac:dyDescent="0.25">
      <c r="A125" t="s">
        <v>124</v>
      </c>
      <c r="B125" t="s">
        <v>125</v>
      </c>
      <c r="C125" t="s">
        <v>23</v>
      </c>
      <c r="D125" t="str">
        <f>_xlfn.CONCAT(Tableau3[[#This Row],[N.Star]]," ",Tableau3[[#This Row],[Const.]])</f>
        <v>CK Cam</v>
      </c>
      <c r="E125" s="8">
        <v>53692.586000000003</v>
      </c>
      <c r="F125" s="8">
        <f>Tableau3[[#This Row],[ToM(+2400000)]]+2400000</f>
        <v>2453692.5860000001</v>
      </c>
      <c r="G125" s="34">
        <v>0.21099999999999999</v>
      </c>
      <c r="H125" s="3" t="s">
        <v>24</v>
      </c>
      <c r="I125" t="s">
        <v>56</v>
      </c>
      <c r="J125" t="s">
        <v>26</v>
      </c>
      <c r="K125" t="s">
        <v>126</v>
      </c>
      <c r="L125" t="s">
        <v>127</v>
      </c>
    </row>
    <row r="126" spans="1:14" x14ac:dyDescent="0.25">
      <c r="A126" t="s">
        <v>124</v>
      </c>
      <c r="B126" t="s">
        <v>125</v>
      </c>
      <c r="C126" t="s">
        <v>23</v>
      </c>
      <c r="D126" t="str">
        <f>_xlfn.CONCAT(Tableau3[[#This Row],[N.Star]]," ",Tableau3[[#This Row],[Const.]])</f>
        <v>CK Cam</v>
      </c>
      <c r="E126" s="8">
        <v>53998.828999999998</v>
      </c>
      <c r="F126" s="8">
        <f>Tableau3[[#This Row],[ToM(+2400000)]]+2400000</f>
        <v>2453998.8289999999</v>
      </c>
      <c r="G126" s="34">
        <v>6.3E-2</v>
      </c>
      <c r="H126" s="3" t="s">
        <v>24</v>
      </c>
      <c r="I126" t="s">
        <v>56</v>
      </c>
      <c r="J126" t="s">
        <v>26</v>
      </c>
      <c r="K126" t="s">
        <v>126</v>
      </c>
      <c r="L126" t="s">
        <v>127</v>
      </c>
    </row>
    <row r="127" spans="1:14" x14ac:dyDescent="0.25">
      <c r="A127" t="s">
        <v>124</v>
      </c>
      <c r="B127" t="s">
        <v>125</v>
      </c>
      <c r="C127" t="s">
        <v>23</v>
      </c>
      <c r="D127" t="str">
        <f>_xlfn.CONCAT(Tableau3[[#This Row],[N.Star]]," ",Tableau3[[#This Row],[Const.]])</f>
        <v>CK Cam</v>
      </c>
      <c r="E127" s="8">
        <v>54018.555</v>
      </c>
      <c r="F127" s="8">
        <f>Tableau3[[#This Row],[ToM(+2400000)]]+2400000</f>
        <v>2454018.5550000002</v>
      </c>
      <c r="G127" s="34">
        <v>0.128</v>
      </c>
      <c r="H127" s="3" t="s">
        <v>24</v>
      </c>
      <c r="I127" t="s">
        <v>128</v>
      </c>
      <c r="J127" t="s">
        <v>26</v>
      </c>
      <c r="K127" t="s">
        <v>126</v>
      </c>
      <c r="L127" t="s">
        <v>127</v>
      </c>
    </row>
    <row r="128" spans="1:14" x14ac:dyDescent="0.25">
      <c r="A128" t="s">
        <v>124</v>
      </c>
      <c r="B128" t="s">
        <v>129</v>
      </c>
      <c r="C128" t="s">
        <v>23</v>
      </c>
      <c r="D128" t="str">
        <f>_xlfn.CONCAT(Tableau3[[#This Row],[N.Star]]," ",Tableau3[[#This Row],[Const.]])</f>
        <v>RW Cam</v>
      </c>
      <c r="E128" s="8">
        <v>47466.360438125004</v>
      </c>
      <c r="F128" s="8">
        <f>Tableau3[[#This Row],[ToM(+2400000)]]+2400000</f>
        <v>2447466.3604381252</v>
      </c>
      <c r="G128" s="34">
        <v>0.16</v>
      </c>
      <c r="H128" s="3" t="s">
        <v>24</v>
      </c>
      <c r="I128" t="s">
        <v>25</v>
      </c>
      <c r="J128" t="s">
        <v>26</v>
      </c>
      <c r="K128" t="s">
        <v>130</v>
      </c>
      <c r="L128" t="s">
        <v>27</v>
      </c>
      <c r="N128" t="s">
        <v>131</v>
      </c>
    </row>
    <row r="129" spans="1:14" x14ac:dyDescent="0.25">
      <c r="A129" t="s">
        <v>124</v>
      </c>
      <c r="B129" t="s">
        <v>129</v>
      </c>
      <c r="C129" t="s">
        <v>23</v>
      </c>
      <c r="D129" t="str">
        <f>_xlfn.CONCAT(Tableau3[[#This Row],[N.Star]]," ",Tableau3[[#This Row],[Const.]])</f>
        <v>RW Cam</v>
      </c>
      <c r="E129" s="8">
        <v>59549.847000000002</v>
      </c>
      <c r="F129" s="8">
        <f>Tableau3[[#This Row],[ToM(+2400000)]]+2400000</f>
        <v>2459549.8470000001</v>
      </c>
      <c r="G129" s="34">
        <v>0.1</v>
      </c>
      <c r="H129" s="3" t="s">
        <v>24</v>
      </c>
      <c r="I129" t="s">
        <v>25</v>
      </c>
      <c r="J129" t="s">
        <v>26</v>
      </c>
      <c r="K129" t="s">
        <v>130</v>
      </c>
      <c r="L129" t="s">
        <v>27</v>
      </c>
    </row>
    <row r="130" spans="1:14" x14ac:dyDescent="0.25">
      <c r="A130" t="s">
        <v>124</v>
      </c>
      <c r="B130" t="s">
        <v>129</v>
      </c>
      <c r="C130" t="s">
        <v>23</v>
      </c>
      <c r="D130" t="str">
        <f>_xlfn.CONCAT(Tableau3[[#This Row],[N.Star]]," ",Tableau3[[#This Row],[Const.]])</f>
        <v>RW Cam</v>
      </c>
      <c r="E130" s="8">
        <v>59912.142999999996</v>
      </c>
      <c r="F130" s="8">
        <f>Tableau3[[#This Row],[ToM(+2400000)]]+2400000</f>
        <v>2459912.1430000002</v>
      </c>
      <c r="G130" s="34">
        <v>0.2</v>
      </c>
      <c r="H130" s="3" t="s">
        <v>24</v>
      </c>
      <c r="I130" t="s">
        <v>25</v>
      </c>
      <c r="J130" t="s">
        <v>26</v>
      </c>
      <c r="K130" t="s">
        <v>130</v>
      </c>
      <c r="L130" t="s">
        <v>27</v>
      </c>
    </row>
    <row r="131" spans="1:14" x14ac:dyDescent="0.25">
      <c r="A131" t="s">
        <v>124</v>
      </c>
      <c r="B131" t="s">
        <v>123</v>
      </c>
      <c r="C131" t="s">
        <v>23</v>
      </c>
      <c r="D131" t="str">
        <f>_xlfn.CONCAT(Tableau3[[#This Row],[N.Star]]," ",Tableau3[[#This Row],[Const.]])</f>
        <v>RX Cam</v>
      </c>
      <c r="E131" s="8">
        <v>43510.74</v>
      </c>
      <c r="F131" s="8">
        <f>Tableau3[[#This Row],[ToM(+2400000)]]+2400000</f>
        <v>2443510.7400000002</v>
      </c>
      <c r="G131" s="34">
        <v>0.15</v>
      </c>
      <c r="H131" s="3" t="s">
        <v>24</v>
      </c>
      <c r="I131" t="s">
        <v>47</v>
      </c>
      <c r="J131" t="s">
        <v>26</v>
      </c>
      <c r="K131" t="s">
        <v>43</v>
      </c>
      <c r="L131" t="s">
        <v>44</v>
      </c>
    </row>
    <row r="132" spans="1:14" x14ac:dyDescent="0.25">
      <c r="A132" t="s">
        <v>124</v>
      </c>
      <c r="B132" t="s">
        <v>123</v>
      </c>
      <c r="C132" t="s">
        <v>23</v>
      </c>
      <c r="D132" t="str">
        <f>_xlfn.CONCAT(Tableau3[[#This Row],[N.Star]]," ",Tableau3[[#This Row],[Const.]])</f>
        <v>RX Cam</v>
      </c>
      <c r="E132" s="8">
        <v>45306.233</v>
      </c>
      <c r="F132" s="8">
        <f>Tableau3[[#This Row],[ToM(+2400000)]]+2400000</f>
        <v>2445306.233</v>
      </c>
      <c r="G132" s="34">
        <v>0.08</v>
      </c>
      <c r="H132" s="3" t="s">
        <v>24</v>
      </c>
      <c r="I132" t="s">
        <v>25</v>
      </c>
      <c r="J132" t="s">
        <v>26</v>
      </c>
      <c r="K132" t="s">
        <v>27</v>
      </c>
      <c r="L132" t="s">
        <v>27</v>
      </c>
      <c r="N132" t="s">
        <v>39</v>
      </c>
    </row>
    <row r="133" spans="1:14" x14ac:dyDescent="0.25">
      <c r="A133" t="s">
        <v>124</v>
      </c>
      <c r="B133" t="s">
        <v>123</v>
      </c>
      <c r="C133" t="s">
        <v>23</v>
      </c>
      <c r="D133" t="str">
        <f>_xlfn.CONCAT(Tableau3[[#This Row],[N.Star]]," ",Tableau3[[#This Row],[Const.]])</f>
        <v>RX Cam</v>
      </c>
      <c r="E133" s="8">
        <v>47214.17</v>
      </c>
      <c r="F133" s="8">
        <f>Tableau3[[#This Row],[ToM(+2400000)]]+2400000</f>
        <v>2447214.17</v>
      </c>
      <c r="G133" s="34">
        <v>0.32</v>
      </c>
      <c r="H133" s="3" t="s">
        <v>24</v>
      </c>
      <c r="I133" t="s">
        <v>25</v>
      </c>
      <c r="J133" t="s">
        <v>26</v>
      </c>
      <c r="K133" t="s">
        <v>27</v>
      </c>
      <c r="L133" t="s">
        <v>27</v>
      </c>
      <c r="N133" t="s">
        <v>39</v>
      </c>
    </row>
    <row r="134" spans="1:14" x14ac:dyDescent="0.25">
      <c r="A134" t="s">
        <v>124</v>
      </c>
      <c r="B134" t="s">
        <v>123</v>
      </c>
      <c r="C134" t="s">
        <v>23</v>
      </c>
      <c r="D134" t="str">
        <f>_xlfn.CONCAT(Tableau3[[#This Row],[N.Star]]," ",Tableau3[[#This Row],[Const.]])</f>
        <v>RX Cam</v>
      </c>
      <c r="E134" s="8">
        <v>50932.03</v>
      </c>
      <c r="F134" s="8">
        <f>Tableau3[[#This Row],[ToM(+2400000)]]+2400000</f>
        <v>2450932.0299999998</v>
      </c>
      <c r="G134" s="34">
        <v>0.63</v>
      </c>
      <c r="H134" s="3" t="s">
        <v>24</v>
      </c>
      <c r="I134" t="s">
        <v>56</v>
      </c>
      <c r="J134" t="s">
        <v>26</v>
      </c>
      <c r="K134" t="s">
        <v>132</v>
      </c>
      <c r="L134" t="s">
        <v>133</v>
      </c>
      <c r="N134" t="s">
        <v>134</v>
      </c>
    </row>
    <row r="135" spans="1:14" x14ac:dyDescent="0.25">
      <c r="A135" t="s">
        <v>124</v>
      </c>
      <c r="B135" t="s">
        <v>123</v>
      </c>
      <c r="C135" t="s">
        <v>23</v>
      </c>
      <c r="D135" t="str">
        <f>_xlfn.CONCAT(Tableau3[[#This Row],[N.Star]]," ",Tableau3[[#This Row],[Const.]])</f>
        <v>RX Cam</v>
      </c>
      <c r="E135" s="8">
        <v>59492.656999999999</v>
      </c>
      <c r="F135" s="8">
        <f>Tableau3[[#This Row],[ToM(+2400000)]]+2400000</f>
        <v>2459492.6570000001</v>
      </c>
      <c r="G135" s="34">
        <v>0.15</v>
      </c>
      <c r="H135" s="3" t="s">
        <v>24</v>
      </c>
      <c r="I135" t="s">
        <v>25</v>
      </c>
      <c r="J135" t="s">
        <v>26</v>
      </c>
      <c r="K135" t="s">
        <v>27</v>
      </c>
      <c r="L135" t="s">
        <v>27</v>
      </c>
    </row>
    <row r="136" spans="1:14" x14ac:dyDescent="0.25">
      <c r="A136" t="s">
        <v>124</v>
      </c>
      <c r="B136" t="s">
        <v>123</v>
      </c>
      <c r="C136" t="s">
        <v>23</v>
      </c>
      <c r="D136" t="str">
        <f>_xlfn.CONCAT(Tableau3[[#This Row],[N.Star]]," ",Tableau3[[#This Row],[Const.]])</f>
        <v>RX Cam</v>
      </c>
      <c r="E136" s="8">
        <v>59777.434999999998</v>
      </c>
      <c r="F136" s="8">
        <f>Tableau3[[#This Row],[ToM(+2400000)]]+2400000</f>
        <v>2459777.4350000001</v>
      </c>
      <c r="G136" s="34">
        <v>0.15</v>
      </c>
      <c r="H136" s="3" t="s">
        <v>24</v>
      </c>
      <c r="I136" t="s">
        <v>25</v>
      </c>
      <c r="J136" t="s">
        <v>26</v>
      </c>
      <c r="K136" t="s">
        <v>27</v>
      </c>
      <c r="L136" t="s">
        <v>27</v>
      </c>
    </row>
    <row r="137" spans="1:14" x14ac:dyDescent="0.25">
      <c r="A137" t="s">
        <v>135</v>
      </c>
      <c r="B137" t="s">
        <v>136</v>
      </c>
      <c r="C137" t="s">
        <v>23</v>
      </c>
      <c r="D137" t="str">
        <f>_xlfn.CONCAT(Tableau3[[#This Row],[N.Star]]," ",Tableau3[[#This Row],[Const.]])</f>
        <v>BD Cas</v>
      </c>
      <c r="E137" s="8">
        <v>44819.17</v>
      </c>
      <c r="F137" s="8">
        <f>Tableau3[[#This Row],[ToM(+2400000)]]+2400000</f>
        <v>2444819.17</v>
      </c>
      <c r="G137" s="34">
        <v>0.1</v>
      </c>
      <c r="H137" s="3" t="s">
        <v>24</v>
      </c>
      <c r="I137" t="s">
        <v>80</v>
      </c>
      <c r="J137" t="s">
        <v>26</v>
      </c>
      <c r="K137" t="s">
        <v>81</v>
      </c>
      <c r="L137" t="s">
        <v>82</v>
      </c>
    </row>
    <row r="138" spans="1:14" x14ac:dyDescent="0.25">
      <c r="A138" t="s">
        <v>135</v>
      </c>
      <c r="B138" t="s">
        <v>136</v>
      </c>
      <c r="C138" t="s">
        <v>23</v>
      </c>
      <c r="D138" t="str">
        <f>_xlfn.CONCAT(Tableau3[[#This Row],[N.Star]]," ",Tableau3[[#This Row],[Const.]])</f>
        <v>BD Cas</v>
      </c>
      <c r="E138" s="8">
        <v>45089.52</v>
      </c>
      <c r="F138" s="8">
        <f>Tableau3[[#This Row],[ToM(+2400000)]]+2400000</f>
        <v>2445089.52</v>
      </c>
      <c r="G138" s="34">
        <v>0.19</v>
      </c>
      <c r="H138" s="3" t="s">
        <v>24</v>
      </c>
      <c r="I138" t="s">
        <v>115</v>
      </c>
      <c r="J138" t="s">
        <v>26</v>
      </c>
      <c r="K138" t="s">
        <v>78</v>
      </c>
      <c r="L138" t="s">
        <v>27</v>
      </c>
      <c r="N138" t="s">
        <v>137</v>
      </c>
    </row>
    <row r="139" spans="1:14" x14ac:dyDescent="0.25">
      <c r="A139" t="s">
        <v>135</v>
      </c>
      <c r="B139" t="s">
        <v>136</v>
      </c>
      <c r="C139" t="s">
        <v>23</v>
      </c>
      <c r="D139" t="str">
        <f>_xlfn.CONCAT(Tableau3[[#This Row],[N.Star]]," ",Tableau3[[#This Row],[Const.]])</f>
        <v>BD Cas</v>
      </c>
      <c r="E139" s="8">
        <v>45089.52</v>
      </c>
      <c r="F139" s="8">
        <f>Tableau3[[#This Row],[ToM(+2400000)]]+2400000</f>
        <v>2445089.52</v>
      </c>
      <c r="G139" s="34">
        <v>0.19</v>
      </c>
      <c r="H139" s="3" t="s">
        <v>24</v>
      </c>
      <c r="I139" t="s">
        <v>138</v>
      </c>
      <c r="J139" t="s">
        <v>26</v>
      </c>
      <c r="K139" t="s">
        <v>78</v>
      </c>
      <c r="L139" t="s">
        <v>79</v>
      </c>
    </row>
    <row r="140" spans="1:14" x14ac:dyDescent="0.25">
      <c r="A140" t="s">
        <v>135</v>
      </c>
      <c r="B140" t="s">
        <v>136</v>
      </c>
      <c r="C140" t="s">
        <v>23</v>
      </c>
      <c r="D140" t="str">
        <f>_xlfn.CONCAT(Tableau3[[#This Row],[N.Star]]," ",Tableau3[[#This Row],[Const.]])</f>
        <v>BD Cas</v>
      </c>
      <c r="E140" s="8">
        <v>45177.13</v>
      </c>
      <c r="F140" s="8">
        <f>Tableau3[[#This Row],[ToM(+2400000)]]+2400000</f>
        <v>2445177.13</v>
      </c>
      <c r="G140" s="34">
        <v>0.1</v>
      </c>
      <c r="H140" s="3" t="s">
        <v>24</v>
      </c>
      <c r="I140" t="s">
        <v>80</v>
      </c>
      <c r="J140" t="s">
        <v>26</v>
      </c>
      <c r="K140" t="s">
        <v>81</v>
      </c>
      <c r="L140" t="s">
        <v>82</v>
      </c>
    </row>
    <row r="141" spans="1:14" x14ac:dyDescent="0.25">
      <c r="A141" t="s">
        <v>135</v>
      </c>
      <c r="B141" t="s">
        <v>136</v>
      </c>
      <c r="C141" t="s">
        <v>23</v>
      </c>
      <c r="D141" t="str">
        <f>_xlfn.CONCAT(Tableau3[[#This Row],[N.Star]]," ",Tableau3[[#This Row],[Const.]])</f>
        <v>BD Cas</v>
      </c>
      <c r="E141" s="8">
        <v>45177.24</v>
      </c>
      <c r="F141" s="8">
        <f>Tableau3[[#This Row],[ToM(+2400000)]]+2400000</f>
        <v>2445177.2400000002</v>
      </c>
      <c r="G141" s="34">
        <v>0.1</v>
      </c>
      <c r="H141" s="3" t="s">
        <v>24</v>
      </c>
      <c r="I141" t="s">
        <v>139</v>
      </c>
      <c r="J141" t="s">
        <v>26</v>
      </c>
      <c r="K141" t="s">
        <v>81</v>
      </c>
      <c r="L141" t="s">
        <v>82</v>
      </c>
    </row>
    <row r="142" spans="1:14" x14ac:dyDescent="0.25">
      <c r="A142" t="s">
        <v>135</v>
      </c>
      <c r="B142" t="s">
        <v>136</v>
      </c>
      <c r="C142" t="s">
        <v>23</v>
      </c>
      <c r="D142" t="str">
        <f>_xlfn.CONCAT(Tableau3[[#This Row],[N.Star]]," ",Tableau3[[#This Row],[Const.]])</f>
        <v>BD Cas</v>
      </c>
      <c r="E142" s="8">
        <v>45177.24</v>
      </c>
      <c r="F142" s="8">
        <f>Tableau3[[#This Row],[ToM(+2400000)]]+2400000</f>
        <v>2445177.2400000002</v>
      </c>
      <c r="G142" s="34">
        <v>0.1</v>
      </c>
      <c r="H142" s="3" t="s">
        <v>24</v>
      </c>
      <c r="I142" t="s">
        <v>122</v>
      </c>
      <c r="J142" t="s">
        <v>26</v>
      </c>
      <c r="K142" t="s">
        <v>81</v>
      </c>
      <c r="L142" t="s">
        <v>82</v>
      </c>
    </row>
    <row r="143" spans="1:14" x14ac:dyDescent="0.25">
      <c r="A143" t="s">
        <v>135</v>
      </c>
      <c r="B143" t="s">
        <v>129</v>
      </c>
      <c r="C143" t="s">
        <v>23</v>
      </c>
      <c r="D143" t="str">
        <f>_xlfn.CONCAT(Tableau3[[#This Row],[N.Star]]," ",Tableau3[[#This Row],[Const.]])</f>
        <v>RW Cas</v>
      </c>
      <c r="E143" s="8">
        <v>53948</v>
      </c>
      <c r="F143" s="8">
        <f>Tableau3[[#This Row],[ToM(+2400000)]]+2400000</f>
        <v>2453948</v>
      </c>
      <c r="G143" s="34">
        <v>0.6</v>
      </c>
      <c r="H143" s="3" t="s">
        <v>24</v>
      </c>
      <c r="I143" t="s">
        <v>128</v>
      </c>
      <c r="J143" t="s">
        <v>26</v>
      </c>
      <c r="K143" t="s">
        <v>126</v>
      </c>
      <c r="L143" t="s">
        <v>140</v>
      </c>
    </row>
    <row r="144" spans="1:14" x14ac:dyDescent="0.25">
      <c r="A144" t="s">
        <v>135</v>
      </c>
      <c r="B144" t="s">
        <v>129</v>
      </c>
      <c r="C144" t="s">
        <v>23</v>
      </c>
      <c r="D144" t="str">
        <f>_xlfn.CONCAT(Tableau3[[#This Row],[N.Star]]," ",Tableau3[[#This Row],[Const.]])</f>
        <v>RW Cas</v>
      </c>
      <c r="E144" s="8">
        <v>59893.08</v>
      </c>
      <c r="F144" s="8">
        <f>Tableau3[[#This Row],[ToM(+2400000)]]+2400000</f>
        <v>2459893.08</v>
      </c>
      <c r="G144" s="34">
        <v>0.1</v>
      </c>
      <c r="H144" s="3" t="s">
        <v>24</v>
      </c>
      <c r="I144" t="s">
        <v>25</v>
      </c>
      <c r="J144" t="s">
        <v>26</v>
      </c>
      <c r="K144" t="s">
        <v>91</v>
      </c>
      <c r="L144" t="s">
        <v>141</v>
      </c>
    </row>
    <row r="145" spans="1:14" x14ac:dyDescent="0.25">
      <c r="A145" t="s">
        <v>135</v>
      </c>
      <c r="B145" t="s">
        <v>142</v>
      </c>
      <c r="C145" t="s">
        <v>23</v>
      </c>
      <c r="D145" t="str">
        <f>_xlfn.CONCAT(Tableau3[[#This Row],[N.Star]]," ",Tableau3[[#This Row],[Const.]])</f>
        <v>RY Cas</v>
      </c>
      <c r="E145" s="8">
        <v>59412.43</v>
      </c>
      <c r="F145" s="8">
        <f>Tableau3[[#This Row],[ToM(+2400000)]]+2400000</f>
        <v>2459412.4300000002</v>
      </c>
      <c r="G145" s="34">
        <v>0.121</v>
      </c>
      <c r="H145" s="3" t="s">
        <v>24</v>
      </c>
      <c r="I145" t="s">
        <v>25</v>
      </c>
      <c r="J145" t="s">
        <v>26</v>
      </c>
      <c r="K145" t="s">
        <v>662</v>
      </c>
      <c r="L145" t="s">
        <v>663</v>
      </c>
    </row>
    <row r="146" spans="1:14" x14ac:dyDescent="0.25">
      <c r="A146" t="s">
        <v>135</v>
      </c>
      <c r="B146" t="s">
        <v>142</v>
      </c>
      <c r="C146" t="s">
        <v>23</v>
      </c>
      <c r="D146" t="str">
        <f>_xlfn.CONCAT(Tableau3[[#This Row],[N.Star]]," ",Tableau3[[#This Row],[Const.]])</f>
        <v>RY Cas</v>
      </c>
      <c r="E146" s="8">
        <v>59485.305999999997</v>
      </c>
      <c r="F146" s="8">
        <f>Tableau3[[#This Row],[ToM(+2400000)]]+2400000</f>
        <v>2459485.3059999999</v>
      </c>
      <c r="G146" s="34">
        <v>0.121</v>
      </c>
      <c r="H146" s="3" t="s">
        <v>24</v>
      </c>
      <c r="I146" t="s">
        <v>25</v>
      </c>
      <c r="J146" t="s">
        <v>26</v>
      </c>
      <c r="K146" t="s">
        <v>662</v>
      </c>
      <c r="L146" t="s">
        <v>663</v>
      </c>
    </row>
    <row r="147" spans="1:14" x14ac:dyDescent="0.25">
      <c r="A147" t="s">
        <v>135</v>
      </c>
      <c r="B147" t="s">
        <v>142</v>
      </c>
      <c r="C147" t="s">
        <v>23</v>
      </c>
      <c r="D147" t="str">
        <f>_xlfn.CONCAT(Tableau3[[#This Row],[N.Star]]," ",Tableau3[[#This Row],[Const.]])</f>
        <v>RY Cas</v>
      </c>
      <c r="E147" s="8">
        <v>59581.853999999999</v>
      </c>
      <c r="F147" s="8">
        <f>Tableau3[[#This Row],[ToM(+2400000)]]+2400000</f>
        <v>2459581.8539999998</v>
      </c>
      <c r="G147" s="34">
        <v>0.36399999999999999</v>
      </c>
      <c r="H147" s="3" t="s">
        <v>24</v>
      </c>
      <c r="I147" t="s">
        <v>25</v>
      </c>
      <c r="J147" t="s">
        <v>26</v>
      </c>
      <c r="K147" t="s">
        <v>662</v>
      </c>
      <c r="L147" t="s">
        <v>663</v>
      </c>
      <c r="N147" t="s">
        <v>143</v>
      </c>
    </row>
    <row r="148" spans="1:14" x14ac:dyDescent="0.25">
      <c r="A148" t="s">
        <v>135</v>
      </c>
      <c r="B148" t="s">
        <v>142</v>
      </c>
      <c r="C148" t="s">
        <v>23</v>
      </c>
      <c r="D148" t="str">
        <f>_xlfn.CONCAT(Tableau3[[#This Row],[N.Star]]," ",Tableau3[[#This Row],[Const.]])</f>
        <v>RY Cas</v>
      </c>
      <c r="E148" s="8">
        <v>59679.65</v>
      </c>
      <c r="F148" s="8">
        <f>Tableau3[[#This Row],[ToM(+2400000)]]+2400000</f>
        <v>2459679.65</v>
      </c>
      <c r="G148" s="34">
        <v>0.121</v>
      </c>
      <c r="H148" s="3" t="s">
        <v>24</v>
      </c>
      <c r="I148" t="s">
        <v>25</v>
      </c>
      <c r="J148" t="s">
        <v>26</v>
      </c>
      <c r="K148" t="s">
        <v>662</v>
      </c>
      <c r="L148" t="s">
        <v>663</v>
      </c>
    </row>
    <row r="149" spans="1:14" x14ac:dyDescent="0.25">
      <c r="A149" t="s">
        <v>135</v>
      </c>
      <c r="B149" t="s">
        <v>142</v>
      </c>
      <c r="C149" t="s">
        <v>23</v>
      </c>
      <c r="D149" t="str">
        <f>_xlfn.CONCAT(Tableau3[[#This Row],[N.Star]]," ",Tableau3[[#This Row],[Const.]])</f>
        <v>RY Cas</v>
      </c>
      <c r="E149" s="8">
        <v>59776.434999999998</v>
      </c>
      <c r="F149" s="8">
        <f>Tableau3[[#This Row],[ToM(+2400000)]]+2400000</f>
        <v>2459776.4350000001</v>
      </c>
      <c r="G149" s="34">
        <v>0.121</v>
      </c>
      <c r="H149" s="3" t="s">
        <v>24</v>
      </c>
      <c r="I149" t="s">
        <v>25</v>
      </c>
      <c r="J149" t="s">
        <v>26</v>
      </c>
      <c r="K149" t="s">
        <v>662</v>
      </c>
      <c r="L149" t="s">
        <v>663</v>
      </c>
      <c r="N149" t="s">
        <v>144</v>
      </c>
    </row>
    <row r="150" spans="1:14" x14ac:dyDescent="0.25">
      <c r="A150" s="73" t="s">
        <v>135</v>
      </c>
      <c r="B150" s="73" t="s">
        <v>145</v>
      </c>
      <c r="C150" s="73" t="s">
        <v>23</v>
      </c>
      <c r="D150" s="73" t="str">
        <f>_xlfn.CONCAT(Tableau3[[#This Row],[N.Star]]," ",Tableau3[[#This Row],[Const.]])</f>
        <v>SU Cas</v>
      </c>
      <c r="E150" s="100">
        <v>41930.480000000003</v>
      </c>
      <c r="F150" s="100">
        <f>Tableau3[[#This Row],[ToM(+2400000)]]+2400000</f>
        <v>2441930.48</v>
      </c>
      <c r="G150" s="101">
        <v>0.15</v>
      </c>
      <c r="H150" s="102" t="s">
        <v>24</v>
      </c>
      <c r="I150" s="73" t="s">
        <v>146</v>
      </c>
      <c r="J150" s="73" t="s">
        <v>26</v>
      </c>
      <c r="K150" s="73" t="s">
        <v>32</v>
      </c>
      <c r="L150" s="73" t="s">
        <v>36</v>
      </c>
      <c r="M150" s="73"/>
      <c r="N150" s="73" t="s">
        <v>34</v>
      </c>
    </row>
    <row r="151" spans="1:14" x14ac:dyDescent="0.25">
      <c r="A151" s="73" t="s">
        <v>135</v>
      </c>
      <c r="B151" s="73" t="s">
        <v>145</v>
      </c>
      <c r="C151" s="73" t="s">
        <v>23</v>
      </c>
      <c r="D151" s="73" t="str">
        <f>_xlfn.CONCAT(Tableau3[[#This Row],[N.Star]]," ",Tableau3[[#This Row],[Const.]])</f>
        <v>SU Cas</v>
      </c>
      <c r="E151" s="100">
        <v>42593.3</v>
      </c>
      <c r="F151" s="100">
        <f>Tableau3[[#This Row],[ToM(+2400000)]]+2400000</f>
        <v>2442593.2999999998</v>
      </c>
      <c r="G151" s="101">
        <v>0.15</v>
      </c>
      <c r="H151" s="102" t="s">
        <v>24</v>
      </c>
      <c r="I151" s="73" t="s">
        <v>31</v>
      </c>
      <c r="J151" s="73" t="s">
        <v>26</v>
      </c>
      <c r="K151" s="73" t="s">
        <v>32</v>
      </c>
      <c r="L151" s="73" t="s">
        <v>147</v>
      </c>
      <c r="M151" s="73"/>
      <c r="N151" s="73" t="s">
        <v>34</v>
      </c>
    </row>
    <row r="152" spans="1:14" x14ac:dyDescent="0.25">
      <c r="A152" s="73" t="s">
        <v>135</v>
      </c>
      <c r="B152" s="73" t="s">
        <v>145</v>
      </c>
      <c r="C152" s="73" t="s">
        <v>23</v>
      </c>
      <c r="D152" s="73" t="str">
        <f>_xlfn.CONCAT(Tableau3[[#This Row],[N.Star]]," ",Tableau3[[#This Row],[Const.]])</f>
        <v>SU Cas</v>
      </c>
      <c r="E152" s="100">
        <v>42838.953000000001</v>
      </c>
      <c r="F152" s="100">
        <f>Tableau3[[#This Row],[ToM(+2400000)]]+2400000</f>
        <v>2442838.9530000002</v>
      </c>
      <c r="G152" s="101">
        <v>0.15</v>
      </c>
      <c r="H152" s="102" t="s">
        <v>24</v>
      </c>
      <c r="I152" s="73" t="s">
        <v>146</v>
      </c>
      <c r="J152" s="73" t="s">
        <v>26</v>
      </c>
      <c r="K152" s="73" t="s">
        <v>32</v>
      </c>
      <c r="L152" s="73" t="s">
        <v>36</v>
      </c>
      <c r="M152" s="73"/>
      <c r="N152" s="73" t="s">
        <v>34</v>
      </c>
    </row>
    <row r="153" spans="1:14" x14ac:dyDescent="0.25">
      <c r="A153" s="73" t="s">
        <v>135</v>
      </c>
      <c r="B153" s="73" t="s">
        <v>145</v>
      </c>
      <c r="C153" s="73" t="s">
        <v>23</v>
      </c>
      <c r="D153" s="73" t="str">
        <f>_xlfn.CONCAT(Tableau3[[#This Row],[N.Star]]," ",Tableau3[[#This Row],[Const.]])</f>
        <v>SU Cas</v>
      </c>
      <c r="E153" s="100">
        <v>42889.65</v>
      </c>
      <c r="F153" s="100">
        <f>Tableau3[[#This Row],[ToM(+2400000)]]+2400000</f>
        <v>2442889.65</v>
      </c>
      <c r="G153" s="101">
        <v>0.1</v>
      </c>
      <c r="H153" s="102" t="s">
        <v>24</v>
      </c>
      <c r="I153" s="73" t="s">
        <v>38</v>
      </c>
      <c r="J153" s="73" t="s">
        <v>26</v>
      </c>
      <c r="K153" s="73" t="s">
        <v>27</v>
      </c>
      <c r="L153" s="73" t="s">
        <v>27</v>
      </c>
      <c r="M153" s="73"/>
      <c r="N153" s="73" t="s">
        <v>39</v>
      </c>
    </row>
    <row r="154" spans="1:14" x14ac:dyDescent="0.25">
      <c r="A154" s="73" t="s">
        <v>135</v>
      </c>
      <c r="B154" s="73" t="s">
        <v>145</v>
      </c>
      <c r="C154" s="73" t="s">
        <v>23</v>
      </c>
      <c r="D154" s="73" t="str">
        <f>_xlfn.CONCAT(Tableau3[[#This Row],[N.Star]]," ",Tableau3[[#This Row],[Const.]])</f>
        <v>SU Cas</v>
      </c>
      <c r="E154" s="100">
        <v>43090.43</v>
      </c>
      <c r="F154" s="100">
        <f>Tableau3[[#This Row],[ToM(+2400000)]]+2400000</f>
        <v>2443090.4300000002</v>
      </c>
      <c r="G154" s="101">
        <v>0.08</v>
      </c>
      <c r="H154" s="102" t="s">
        <v>24</v>
      </c>
      <c r="I154" s="73" t="s">
        <v>38</v>
      </c>
      <c r="J154" s="73" t="s">
        <v>26</v>
      </c>
      <c r="K154" s="73" t="s">
        <v>27</v>
      </c>
      <c r="L154" s="73" t="s">
        <v>27</v>
      </c>
      <c r="M154" s="73"/>
      <c r="N154" s="73" t="s">
        <v>39</v>
      </c>
    </row>
    <row r="155" spans="1:14" x14ac:dyDescent="0.25">
      <c r="A155" s="73" t="s">
        <v>135</v>
      </c>
      <c r="B155" s="73" t="s">
        <v>145</v>
      </c>
      <c r="C155" s="73" t="s">
        <v>23</v>
      </c>
      <c r="D155" s="73" t="str">
        <f>_xlfn.CONCAT(Tableau3[[#This Row],[N.Star]]," ",Tableau3[[#This Row],[Const.]])</f>
        <v>SU Cas</v>
      </c>
      <c r="E155" s="100">
        <v>43182</v>
      </c>
      <c r="F155" s="100">
        <f>Tableau3[[#This Row],[ToM(+2400000)]]+2400000</f>
        <v>2443182</v>
      </c>
      <c r="G155" s="101">
        <v>0.15</v>
      </c>
      <c r="H155" s="102" t="s">
        <v>24</v>
      </c>
      <c r="I155" s="73" t="s">
        <v>66</v>
      </c>
      <c r="J155" s="73" t="s">
        <v>26</v>
      </c>
      <c r="K155" s="73" t="s">
        <v>43</v>
      </c>
      <c r="L155" s="73" t="s">
        <v>148</v>
      </c>
      <c r="M155" s="73"/>
      <c r="N155" s="73"/>
    </row>
    <row r="156" spans="1:14" x14ac:dyDescent="0.25">
      <c r="A156" s="73" t="s">
        <v>135</v>
      </c>
      <c r="B156" s="73" t="s">
        <v>145</v>
      </c>
      <c r="C156" s="73" t="s">
        <v>23</v>
      </c>
      <c r="D156" s="73" t="str">
        <f>_xlfn.CONCAT(Tableau3[[#This Row],[N.Star]]," ",Tableau3[[#This Row],[Const.]])</f>
        <v>SU Cas</v>
      </c>
      <c r="E156" s="100">
        <v>43365.26</v>
      </c>
      <c r="F156" s="100">
        <f>Tableau3[[#This Row],[ToM(+2400000)]]+2400000</f>
        <v>2443365.2599999998</v>
      </c>
      <c r="G156" s="101">
        <v>0.15</v>
      </c>
      <c r="H156" s="102" t="s">
        <v>24</v>
      </c>
      <c r="I156" s="73" t="s">
        <v>100</v>
      </c>
      <c r="J156" s="73" t="s">
        <v>26</v>
      </c>
      <c r="K156" s="73" t="s">
        <v>43</v>
      </c>
      <c r="L156" s="73" t="s">
        <v>148</v>
      </c>
      <c r="M156" s="73"/>
      <c r="N156" s="73"/>
    </row>
    <row r="157" spans="1:14" x14ac:dyDescent="0.25">
      <c r="A157" s="73" t="s">
        <v>135</v>
      </c>
      <c r="B157" s="73" t="s">
        <v>145</v>
      </c>
      <c r="C157" s="73" t="s">
        <v>23</v>
      </c>
      <c r="D157" s="73" t="str">
        <f>_xlfn.CONCAT(Tableau3[[#This Row],[N.Star]]," ",Tableau3[[#This Row],[Const.]])</f>
        <v>SU Cas</v>
      </c>
      <c r="E157" s="100">
        <v>43462.82</v>
      </c>
      <c r="F157" s="100">
        <f>Tableau3[[#This Row],[ToM(+2400000)]]+2400000</f>
        <v>2443462.8199999998</v>
      </c>
      <c r="G157" s="101">
        <v>0.15</v>
      </c>
      <c r="H157" s="102" t="s">
        <v>24</v>
      </c>
      <c r="I157" s="73" t="s">
        <v>47</v>
      </c>
      <c r="J157" s="73" t="s">
        <v>26</v>
      </c>
      <c r="K157" s="73" t="s">
        <v>43</v>
      </c>
      <c r="L157" s="73" t="s">
        <v>148</v>
      </c>
      <c r="M157" s="73"/>
      <c r="N157" s="73"/>
    </row>
    <row r="158" spans="1:14" x14ac:dyDescent="0.25">
      <c r="A158" s="73" t="s">
        <v>135</v>
      </c>
      <c r="B158" s="73" t="s">
        <v>145</v>
      </c>
      <c r="C158" s="73" t="s">
        <v>23</v>
      </c>
      <c r="D158" s="73" t="str">
        <f>_xlfn.CONCAT(Tableau3[[#This Row],[N.Star]]," ",Tableau3[[#This Row],[Const.]])</f>
        <v>SU Cas</v>
      </c>
      <c r="E158" s="100">
        <v>43487.97</v>
      </c>
      <c r="F158" s="100">
        <f>Tableau3[[#This Row],[ToM(+2400000)]]+2400000</f>
        <v>2443487.9700000002</v>
      </c>
      <c r="G158" s="101">
        <v>0.15</v>
      </c>
      <c r="H158" s="102" t="s">
        <v>24</v>
      </c>
      <c r="I158" s="73" t="s">
        <v>149</v>
      </c>
      <c r="J158" s="73" t="s">
        <v>26</v>
      </c>
      <c r="K158" s="73" t="s">
        <v>43</v>
      </c>
      <c r="L158" s="73" t="s">
        <v>148</v>
      </c>
      <c r="M158" s="73"/>
      <c r="N158" s="73"/>
    </row>
    <row r="159" spans="1:14" x14ac:dyDescent="0.25">
      <c r="A159" s="73" t="s">
        <v>135</v>
      </c>
      <c r="B159" s="73" t="s">
        <v>145</v>
      </c>
      <c r="C159" s="73" t="s">
        <v>23</v>
      </c>
      <c r="D159" s="73" t="str">
        <f>_xlfn.CONCAT(Tableau3[[#This Row],[N.Star]]," ",Tableau3[[#This Row],[Const.]])</f>
        <v>SU Cas</v>
      </c>
      <c r="E159" s="100">
        <v>44140.038999999997</v>
      </c>
      <c r="F159" s="100">
        <f>Tableau3[[#This Row],[ToM(+2400000)]]+2400000</f>
        <v>2444140.0389999999</v>
      </c>
      <c r="G159" s="101">
        <v>0.1</v>
      </c>
      <c r="H159" s="102" t="s">
        <v>24</v>
      </c>
      <c r="I159" s="73" t="s">
        <v>25</v>
      </c>
      <c r="J159" s="73" t="s">
        <v>26</v>
      </c>
      <c r="K159" s="73" t="s">
        <v>27</v>
      </c>
      <c r="L159" s="73" t="s">
        <v>27</v>
      </c>
      <c r="M159" s="73"/>
      <c r="N159" s="73" t="s">
        <v>39</v>
      </c>
    </row>
    <row r="160" spans="1:14" x14ac:dyDescent="0.25">
      <c r="A160" s="73" t="s">
        <v>135</v>
      </c>
      <c r="B160" s="73" t="s">
        <v>145</v>
      </c>
      <c r="C160" s="73" t="s">
        <v>23</v>
      </c>
      <c r="D160" s="73" t="str">
        <f>_xlfn.CONCAT(Tableau3[[#This Row],[N.Star]]," ",Tableau3[[#This Row],[Const.]])</f>
        <v>SU Cas</v>
      </c>
      <c r="E160" s="100">
        <v>44511.400999999998</v>
      </c>
      <c r="F160" s="100">
        <f>Tableau3[[#This Row],[ToM(+2400000)]]+2400000</f>
        <v>2444511.4010000001</v>
      </c>
      <c r="G160" s="101">
        <v>0.3</v>
      </c>
      <c r="H160" s="102" t="s">
        <v>24</v>
      </c>
      <c r="I160" s="73" t="s">
        <v>25</v>
      </c>
      <c r="J160" s="73" t="s">
        <v>26</v>
      </c>
      <c r="K160" s="73" t="s">
        <v>27</v>
      </c>
      <c r="L160" s="73" t="s">
        <v>27</v>
      </c>
      <c r="M160" s="73"/>
      <c r="N160" s="73" t="s">
        <v>39</v>
      </c>
    </row>
    <row r="161" spans="1:14" x14ac:dyDescent="0.25">
      <c r="A161" s="73" t="s">
        <v>135</v>
      </c>
      <c r="B161" s="73" t="s">
        <v>145</v>
      </c>
      <c r="C161" s="73" t="s">
        <v>23</v>
      </c>
      <c r="D161" s="73" t="str">
        <f>_xlfn.CONCAT(Tableau3[[#This Row],[N.Star]]," ",Tableau3[[#This Row],[Const.]])</f>
        <v>SU Cas</v>
      </c>
      <c r="E161" s="100">
        <v>47359.4</v>
      </c>
      <c r="F161" s="100">
        <f>Tableau3[[#This Row],[ToM(+2400000)]]+2400000</f>
        <v>2447359.4</v>
      </c>
      <c r="G161" s="101">
        <v>0.02</v>
      </c>
      <c r="H161" s="102" t="s">
        <v>24</v>
      </c>
      <c r="I161" s="73" t="s">
        <v>61</v>
      </c>
      <c r="J161" s="73" t="s">
        <v>26</v>
      </c>
      <c r="K161" s="73" t="s">
        <v>62</v>
      </c>
      <c r="L161" s="73" t="s">
        <v>63</v>
      </c>
      <c r="M161" s="73"/>
      <c r="N161" s="73"/>
    </row>
    <row r="162" spans="1:14" x14ac:dyDescent="0.25">
      <c r="A162" s="73" t="s">
        <v>135</v>
      </c>
      <c r="B162" s="73" t="s">
        <v>145</v>
      </c>
      <c r="C162" s="73" t="s">
        <v>23</v>
      </c>
      <c r="D162" s="73" t="str">
        <f>_xlfn.CONCAT(Tableau3[[#This Row],[N.Star]]," ",Tableau3[[#This Row],[Const.]])</f>
        <v>SU Cas</v>
      </c>
      <c r="E162" s="100">
        <v>47487.99</v>
      </c>
      <c r="F162" s="100">
        <f>Tableau3[[#This Row],[ToM(+2400000)]]+2400000</f>
        <v>2447487.9900000002</v>
      </c>
      <c r="G162" s="101">
        <v>0.06</v>
      </c>
      <c r="H162" s="102" t="s">
        <v>24</v>
      </c>
      <c r="I162" s="73" t="s">
        <v>116</v>
      </c>
      <c r="J162" s="73" t="s">
        <v>26</v>
      </c>
      <c r="K162" s="73" t="s">
        <v>57</v>
      </c>
      <c r="L162" s="73" t="s">
        <v>150</v>
      </c>
      <c r="M162" s="73"/>
      <c r="N162" s="73"/>
    </row>
    <row r="163" spans="1:14" x14ac:dyDescent="0.25">
      <c r="A163" s="73" t="s">
        <v>135</v>
      </c>
      <c r="B163" s="73" t="s">
        <v>145</v>
      </c>
      <c r="C163" s="73" t="s">
        <v>23</v>
      </c>
      <c r="D163" s="73" t="str">
        <f>_xlfn.CONCAT(Tableau3[[#This Row],[N.Star]]," ",Tableau3[[#This Row],[Const.]])</f>
        <v>SU Cas</v>
      </c>
      <c r="E163" s="100">
        <v>47784.37</v>
      </c>
      <c r="F163" s="100">
        <f>Tableau3[[#This Row],[ToM(+2400000)]]+2400000</f>
        <v>2447784.37</v>
      </c>
      <c r="G163" s="101">
        <v>0.06</v>
      </c>
      <c r="H163" s="102" t="s">
        <v>24</v>
      </c>
      <c r="I163" s="73" t="s">
        <v>48</v>
      </c>
      <c r="J163" s="73" t="s">
        <v>26</v>
      </c>
      <c r="K163" s="73" t="s">
        <v>49</v>
      </c>
      <c r="L163" s="73" t="s">
        <v>64</v>
      </c>
      <c r="M163" s="73"/>
      <c r="N163" s="73"/>
    </row>
    <row r="164" spans="1:14" x14ac:dyDescent="0.25">
      <c r="A164" s="73" t="s">
        <v>135</v>
      </c>
      <c r="B164" s="73" t="s">
        <v>145</v>
      </c>
      <c r="C164" s="73" t="s">
        <v>23</v>
      </c>
      <c r="D164" s="73" t="str">
        <f>_xlfn.CONCAT(Tableau3[[#This Row],[N.Star]]," ",Tableau3[[#This Row],[Const.]])</f>
        <v>SU Cas</v>
      </c>
      <c r="E164" s="100">
        <v>48507.489000000001</v>
      </c>
      <c r="F164" s="100">
        <f>Tableau3[[#This Row],[ToM(+2400000)]]+2400000</f>
        <v>2448507.4890000001</v>
      </c>
      <c r="G164" s="101">
        <v>4.0000000000000001E-3</v>
      </c>
      <c r="H164" s="102" t="s">
        <v>151</v>
      </c>
      <c r="I164" s="73" t="s">
        <v>152</v>
      </c>
      <c r="J164" s="73" t="s">
        <v>26</v>
      </c>
      <c r="K164" s="73" t="s">
        <v>153</v>
      </c>
      <c r="L164" s="73" t="s">
        <v>154</v>
      </c>
      <c r="M164" s="73"/>
      <c r="N164" s="73"/>
    </row>
    <row r="165" spans="1:14" x14ac:dyDescent="0.25">
      <c r="A165" s="73" t="s">
        <v>135</v>
      </c>
      <c r="B165" s="73" t="s">
        <v>145</v>
      </c>
      <c r="C165" s="73" t="s">
        <v>23</v>
      </c>
      <c r="D165" s="73" t="str">
        <f>_xlfn.CONCAT(Tableau3[[#This Row],[N.Star]]," ",Tableau3[[#This Row],[Const.]])</f>
        <v>SU Cas</v>
      </c>
      <c r="E165" s="100">
        <v>48509.599000000002</v>
      </c>
      <c r="F165" s="100">
        <f>Tableau3[[#This Row],[ToM(+2400000)]]+2400000</f>
        <v>2448509.5989999999</v>
      </c>
      <c r="G165" s="101">
        <v>5.0000000000000001E-3</v>
      </c>
      <c r="H165" s="102" t="s">
        <v>151</v>
      </c>
      <c r="I165" s="73" t="s">
        <v>152</v>
      </c>
      <c r="J165" s="73" t="s">
        <v>26</v>
      </c>
      <c r="K165" s="73" t="s">
        <v>153</v>
      </c>
      <c r="L165" s="73" t="s">
        <v>154</v>
      </c>
      <c r="M165" s="73"/>
      <c r="N165" s="73"/>
    </row>
    <row r="166" spans="1:14" x14ac:dyDescent="0.25">
      <c r="A166" s="73" t="s">
        <v>135</v>
      </c>
      <c r="B166" s="73" t="s">
        <v>145</v>
      </c>
      <c r="C166" s="73" t="s">
        <v>23</v>
      </c>
      <c r="D166" s="73" t="str">
        <f>_xlfn.CONCAT(Tableau3[[#This Row],[N.Star]]," ",Tableau3[[#This Row],[Const.]])</f>
        <v>SU Cas</v>
      </c>
      <c r="E166" s="100">
        <v>53963.75</v>
      </c>
      <c r="F166" s="100">
        <f>Tableau3[[#This Row],[ToM(+2400000)]]+2400000</f>
        <v>2453963.75</v>
      </c>
      <c r="G166" s="101">
        <v>0.11</v>
      </c>
      <c r="H166" s="102" t="s">
        <v>24</v>
      </c>
      <c r="I166" s="73" t="s">
        <v>128</v>
      </c>
      <c r="J166" s="73" t="s">
        <v>26</v>
      </c>
      <c r="K166" s="73" t="s">
        <v>126</v>
      </c>
      <c r="L166" s="73" t="s">
        <v>140</v>
      </c>
      <c r="M166" s="73"/>
      <c r="N166" s="73"/>
    </row>
    <row r="167" spans="1:14" x14ac:dyDescent="0.25">
      <c r="A167" t="s">
        <v>135</v>
      </c>
      <c r="B167" t="s">
        <v>155</v>
      </c>
      <c r="C167" t="s">
        <v>23</v>
      </c>
      <c r="D167" t="str">
        <f>_xlfn.CONCAT(Tableau3[[#This Row],[N.Star]]," ",Tableau3[[#This Row],[Const.]])</f>
        <v>TU Cas</v>
      </c>
      <c r="E167" s="8">
        <v>43063.6</v>
      </c>
      <c r="F167" s="8">
        <f>Tableau3[[#This Row],[ToM(+2400000)]]+2400000</f>
        <v>2443063.6</v>
      </c>
      <c r="G167" s="34">
        <v>0.15</v>
      </c>
      <c r="H167" s="3" t="s">
        <v>24</v>
      </c>
      <c r="I167" t="s">
        <v>47</v>
      </c>
      <c r="J167" t="s">
        <v>26</v>
      </c>
      <c r="K167" t="s">
        <v>52</v>
      </c>
      <c r="L167" t="s">
        <v>53</v>
      </c>
      <c r="N167" t="s">
        <v>156</v>
      </c>
    </row>
    <row r="168" spans="1:14" x14ac:dyDescent="0.25">
      <c r="A168" t="s">
        <v>135</v>
      </c>
      <c r="B168" t="s">
        <v>155</v>
      </c>
      <c r="C168" t="s">
        <v>23</v>
      </c>
      <c r="D168" t="str">
        <f>_xlfn.CONCAT(Tableau3[[#This Row],[N.Star]]," ",Tableau3[[#This Row],[Const.]])</f>
        <v>TU Cas</v>
      </c>
      <c r="E168" s="8">
        <v>43123.364999999998</v>
      </c>
      <c r="F168" s="8">
        <f>Tableau3[[#This Row],[ToM(+2400000)]]+2400000</f>
        <v>2443123.3650000002</v>
      </c>
      <c r="G168" s="34">
        <v>0.13</v>
      </c>
      <c r="H168" s="3" t="s">
        <v>24</v>
      </c>
      <c r="I168" t="s">
        <v>100</v>
      </c>
      <c r="J168" t="s">
        <v>26</v>
      </c>
      <c r="K168" t="s">
        <v>49</v>
      </c>
      <c r="L168" t="s">
        <v>157</v>
      </c>
    </row>
    <row r="169" spans="1:14" x14ac:dyDescent="0.25">
      <c r="A169" t="s">
        <v>135</v>
      </c>
      <c r="B169" t="s">
        <v>155</v>
      </c>
      <c r="C169" t="s">
        <v>23</v>
      </c>
      <c r="D169" t="str">
        <f>_xlfn.CONCAT(Tableau3[[#This Row],[N.Star]]," ",Tableau3[[#This Row],[Const.]])</f>
        <v>TU Cas</v>
      </c>
      <c r="E169" s="8">
        <v>44592.91</v>
      </c>
      <c r="F169" s="8">
        <f>Tableau3[[#This Row],[ToM(+2400000)]]+2400000</f>
        <v>2444592.91</v>
      </c>
      <c r="G169" s="34">
        <v>0.11</v>
      </c>
      <c r="H169" s="3" t="s">
        <v>24</v>
      </c>
      <c r="I169" t="s">
        <v>25</v>
      </c>
      <c r="J169" t="s">
        <v>26</v>
      </c>
      <c r="K169" t="s">
        <v>27</v>
      </c>
      <c r="L169" t="s">
        <v>27</v>
      </c>
      <c r="N169" t="s">
        <v>39</v>
      </c>
    </row>
    <row r="170" spans="1:14" ht="16.7" customHeight="1" x14ac:dyDescent="0.25">
      <c r="A170" t="s">
        <v>135</v>
      </c>
      <c r="B170" t="s">
        <v>155</v>
      </c>
      <c r="C170" t="s">
        <v>23</v>
      </c>
      <c r="D170" t="str">
        <f>_xlfn.CONCAT(Tableau3[[#This Row],[N.Star]]," ",Tableau3[[#This Row],[Const.]])</f>
        <v>TU Cas</v>
      </c>
      <c r="E170" s="8">
        <v>47526</v>
      </c>
      <c r="F170" s="8">
        <f>Tableau3[[#This Row],[ToM(+2400000)]]+2400000</f>
        <v>2447526</v>
      </c>
      <c r="G170" s="34">
        <v>0.11</v>
      </c>
      <c r="H170" s="3" t="s">
        <v>24</v>
      </c>
      <c r="I170" t="s">
        <v>116</v>
      </c>
      <c r="J170" t="s">
        <v>26</v>
      </c>
      <c r="K170" t="s">
        <v>57</v>
      </c>
      <c r="L170" t="s">
        <v>59</v>
      </c>
    </row>
    <row r="171" spans="1:14" ht="16.7" customHeight="1" x14ac:dyDescent="0.25">
      <c r="A171" t="s">
        <v>135</v>
      </c>
      <c r="B171" t="s">
        <v>155</v>
      </c>
      <c r="C171" t="s">
        <v>23</v>
      </c>
      <c r="D171" t="str">
        <f>_xlfn.CONCAT(Tableau3[[#This Row],[N.Star]]," ",Tableau3[[#This Row],[Const.]])</f>
        <v>TU Cas</v>
      </c>
      <c r="E171" s="8">
        <v>59172.067999999999</v>
      </c>
      <c r="F171" s="8">
        <f>Tableau3[[#This Row],[ToM(+2400000)]]+2400000</f>
        <v>2459172.068</v>
      </c>
      <c r="G171" s="34">
        <v>0.08</v>
      </c>
      <c r="H171" s="3" t="s">
        <v>24</v>
      </c>
      <c r="I171" t="s">
        <v>25</v>
      </c>
      <c r="J171" t="s">
        <v>26</v>
      </c>
      <c r="K171" t="s">
        <v>27</v>
      </c>
      <c r="L171" t="s">
        <v>27</v>
      </c>
    </row>
    <row r="172" spans="1:14" x14ac:dyDescent="0.25">
      <c r="A172" t="s">
        <v>135</v>
      </c>
      <c r="B172" t="s">
        <v>158</v>
      </c>
      <c r="C172" t="s">
        <v>23</v>
      </c>
      <c r="D172" t="str">
        <f>_xlfn.CONCAT(Tableau3[[#This Row],[N.Star]]," ",Tableau3[[#This Row],[Const.]])</f>
        <v>V407 Cas</v>
      </c>
      <c r="E172" s="8">
        <v>47890.072</v>
      </c>
      <c r="F172" s="8">
        <f>Tableau3[[#This Row],[ToM(+2400000)]]+2400000</f>
        <v>2447890.0720000002</v>
      </c>
      <c r="G172" s="34">
        <v>6.3E-2</v>
      </c>
      <c r="H172" s="3" t="s">
        <v>24</v>
      </c>
      <c r="I172" t="s">
        <v>25</v>
      </c>
      <c r="J172" t="s">
        <v>26</v>
      </c>
      <c r="K172" t="s">
        <v>159</v>
      </c>
      <c r="L172" t="s">
        <v>160</v>
      </c>
      <c r="N172" t="s">
        <v>161</v>
      </c>
    </row>
    <row r="173" spans="1:14" x14ac:dyDescent="0.25">
      <c r="A173" s="107" t="s">
        <v>162</v>
      </c>
      <c r="B173" s="107" t="s">
        <v>163</v>
      </c>
      <c r="C173" s="107" t="s">
        <v>23</v>
      </c>
      <c r="D173" s="107" t="str">
        <f>_xlfn.CONCAT(Tableau3[[#This Row],[N.Star]]," ",Tableau3[[#This Row],[Const.]])</f>
        <v>DELTA Cep</v>
      </c>
      <c r="E173" s="108">
        <v>42150</v>
      </c>
      <c r="F173" s="108">
        <f>Tableau3[[#This Row],[ToM(+2400000)]]+2400000</f>
        <v>2442150</v>
      </c>
      <c r="G173" s="109">
        <v>0.15</v>
      </c>
      <c r="H173" s="110" t="s">
        <v>24</v>
      </c>
      <c r="I173" s="107" t="s">
        <v>31</v>
      </c>
      <c r="J173" s="107" t="s">
        <v>26</v>
      </c>
      <c r="K173" s="107" t="s">
        <v>164</v>
      </c>
      <c r="L173" s="107" t="s">
        <v>165</v>
      </c>
      <c r="M173" s="107" t="s">
        <v>166</v>
      </c>
      <c r="N173" s="107" t="s">
        <v>34</v>
      </c>
    </row>
    <row r="174" spans="1:14" x14ac:dyDescent="0.25">
      <c r="A174" s="107" t="s">
        <v>162</v>
      </c>
      <c r="B174" s="107" t="s">
        <v>163</v>
      </c>
      <c r="C174" s="107" t="s">
        <v>23</v>
      </c>
      <c r="D174" s="107" t="str">
        <f>_xlfn.CONCAT(Tableau3[[#This Row],[N.Star]]," ",Tableau3[[#This Row],[Const.]])</f>
        <v>DELTA Cep</v>
      </c>
      <c r="E174" s="108">
        <v>42252.152000000002</v>
      </c>
      <c r="F174" s="108">
        <f>Tableau3[[#This Row],[ToM(+2400000)]]+2400000</f>
        <v>2442252.1519999998</v>
      </c>
      <c r="G174" s="109">
        <v>0.15</v>
      </c>
      <c r="H174" s="110" t="s">
        <v>24</v>
      </c>
      <c r="I174" s="107" t="s">
        <v>31</v>
      </c>
      <c r="J174" s="107" t="s">
        <v>26</v>
      </c>
      <c r="K174" s="107" t="s">
        <v>32</v>
      </c>
      <c r="L174" s="107" t="s">
        <v>36</v>
      </c>
      <c r="M174" s="107"/>
      <c r="N174" s="107" t="s">
        <v>34</v>
      </c>
    </row>
    <row r="175" spans="1:14" x14ac:dyDescent="0.25">
      <c r="A175" s="107" t="s">
        <v>162</v>
      </c>
      <c r="B175" s="107" t="s">
        <v>163</v>
      </c>
      <c r="C175" s="107" t="s">
        <v>23</v>
      </c>
      <c r="D175" s="107" t="str">
        <f>_xlfn.CONCAT(Tableau3[[#This Row],[N.Star]]," ",Tableau3[[#This Row],[Const.]])</f>
        <v>DELTA Cep</v>
      </c>
      <c r="E175" s="108">
        <v>42601.06</v>
      </c>
      <c r="F175" s="108">
        <f>Tableau3[[#This Row],[ToM(+2400000)]]+2400000</f>
        <v>2442601.06</v>
      </c>
      <c r="G175" s="109">
        <v>0.15</v>
      </c>
      <c r="H175" s="110" t="s">
        <v>24</v>
      </c>
      <c r="I175" s="107" t="s">
        <v>35</v>
      </c>
      <c r="J175" s="107" t="s">
        <v>26</v>
      </c>
      <c r="K175" s="107" t="s">
        <v>32</v>
      </c>
      <c r="L175" s="107" t="s">
        <v>36</v>
      </c>
      <c r="M175" s="107"/>
      <c r="N175" s="107" t="s">
        <v>34</v>
      </c>
    </row>
    <row r="176" spans="1:14" x14ac:dyDescent="0.25">
      <c r="A176" s="107" t="s">
        <v>162</v>
      </c>
      <c r="B176" s="107" t="s">
        <v>163</v>
      </c>
      <c r="C176" s="107" t="s">
        <v>23</v>
      </c>
      <c r="D176" s="107" t="str">
        <f>_xlfn.CONCAT(Tableau3[[#This Row],[N.Star]]," ",Tableau3[[#This Row],[Const.]])</f>
        <v>DELTA Cep</v>
      </c>
      <c r="E176" s="108">
        <v>42660.160000000003</v>
      </c>
      <c r="F176" s="108">
        <f>Tableau3[[#This Row],[ToM(+2400000)]]+2400000</f>
        <v>2442660.16</v>
      </c>
      <c r="G176" s="109">
        <v>0.15</v>
      </c>
      <c r="H176" s="110" t="s">
        <v>24</v>
      </c>
      <c r="I176" s="107" t="s">
        <v>55</v>
      </c>
      <c r="J176" s="107" t="s">
        <v>26</v>
      </c>
      <c r="K176" s="107" t="s">
        <v>43</v>
      </c>
      <c r="L176" s="107" t="s">
        <v>148</v>
      </c>
      <c r="M176" s="107"/>
      <c r="N176" s="107"/>
    </row>
    <row r="177" spans="1:14" x14ac:dyDescent="0.25">
      <c r="A177" s="107" t="s">
        <v>162</v>
      </c>
      <c r="B177" s="107" t="s">
        <v>163</v>
      </c>
      <c r="C177" s="107" t="s">
        <v>23</v>
      </c>
      <c r="D177" s="107" t="str">
        <f>_xlfn.CONCAT(Tableau3[[#This Row],[N.Star]]," ",Tableau3[[#This Row],[Const.]])</f>
        <v>DELTA Cep</v>
      </c>
      <c r="E177" s="108">
        <v>43051.71</v>
      </c>
      <c r="F177" s="108">
        <f>Tableau3[[#This Row],[ToM(+2400000)]]+2400000</f>
        <v>2443051.71</v>
      </c>
      <c r="G177" s="109">
        <v>0.15</v>
      </c>
      <c r="H177" s="110" t="s">
        <v>24</v>
      </c>
      <c r="I177" s="107" t="s">
        <v>102</v>
      </c>
      <c r="J177" s="107" t="s">
        <v>26</v>
      </c>
      <c r="K177" s="107" t="s">
        <v>52</v>
      </c>
      <c r="L177" s="107" t="s">
        <v>53</v>
      </c>
      <c r="M177" s="107"/>
      <c r="N177" s="107"/>
    </row>
    <row r="178" spans="1:14" x14ac:dyDescent="0.25">
      <c r="A178" s="107" t="s">
        <v>162</v>
      </c>
      <c r="B178" s="107" t="s">
        <v>163</v>
      </c>
      <c r="C178" s="107" t="s">
        <v>23</v>
      </c>
      <c r="D178" s="107" t="str">
        <f>_xlfn.CONCAT(Tableau3[[#This Row],[N.Star]]," ",Tableau3[[#This Row],[Const.]])</f>
        <v>DELTA Cep</v>
      </c>
      <c r="E178" s="108">
        <v>43143.24</v>
      </c>
      <c r="F178" s="108">
        <f>Tableau3[[#This Row],[ToM(+2400000)]]+2400000</f>
        <v>2443143.2400000002</v>
      </c>
      <c r="G178" s="109">
        <v>0.15</v>
      </c>
      <c r="H178" s="110" t="s">
        <v>24</v>
      </c>
      <c r="I178" s="107" t="s">
        <v>167</v>
      </c>
      <c r="J178" s="107" t="s">
        <v>26</v>
      </c>
      <c r="K178" s="107" t="s">
        <v>52</v>
      </c>
      <c r="L178" s="107" t="s">
        <v>53</v>
      </c>
      <c r="M178" s="107"/>
      <c r="N178" s="107"/>
    </row>
    <row r="179" spans="1:14" x14ac:dyDescent="0.25">
      <c r="A179" s="107" t="s">
        <v>162</v>
      </c>
      <c r="B179" s="107" t="s">
        <v>163</v>
      </c>
      <c r="C179" s="107" t="s">
        <v>23</v>
      </c>
      <c r="D179" s="107" t="str">
        <f>_xlfn.CONCAT(Tableau3[[#This Row],[N.Star]]," ",Tableau3[[#This Row],[Const.]])</f>
        <v>DELTA Cep</v>
      </c>
      <c r="E179" s="108">
        <v>43416.55</v>
      </c>
      <c r="F179" s="108">
        <f>Tableau3[[#This Row],[ToM(+2400000)]]+2400000</f>
        <v>2443416.5499999998</v>
      </c>
      <c r="G179" s="109">
        <v>0.15</v>
      </c>
      <c r="H179" s="110" t="s">
        <v>24</v>
      </c>
      <c r="I179" s="107" t="s">
        <v>54</v>
      </c>
      <c r="J179" s="107" t="s">
        <v>26</v>
      </c>
      <c r="K179" s="107" t="s">
        <v>43</v>
      </c>
      <c r="L179" s="107" t="s">
        <v>148</v>
      </c>
      <c r="M179" s="107"/>
      <c r="N179" s="107"/>
    </row>
    <row r="180" spans="1:14" x14ac:dyDescent="0.25">
      <c r="A180" s="107" t="s">
        <v>162</v>
      </c>
      <c r="B180" s="107" t="s">
        <v>163</v>
      </c>
      <c r="C180" s="107" t="s">
        <v>23</v>
      </c>
      <c r="D180" s="107" t="str">
        <f>_xlfn.CONCAT(Tableau3[[#This Row],[N.Star]]," ",Tableau3[[#This Row],[Const.]])</f>
        <v>DELTA Cep</v>
      </c>
      <c r="E180" s="108">
        <v>44125.285000000003</v>
      </c>
      <c r="F180" s="108">
        <f>Tableau3[[#This Row],[ToM(+2400000)]]+2400000</f>
        <v>2444125.2850000001</v>
      </c>
      <c r="G180" s="109">
        <v>0.15</v>
      </c>
      <c r="H180" s="110" t="s">
        <v>24</v>
      </c>
      <c r="I180" s="107" t="s">
        <v>25</v>
      </c>
      <c r="J180" s="107" t="s">
        <v>26</v>
      </c>
      <c r="K180" s="107" t="s">
        <v>27</v>
      </c>
      <c r="L180" s="107" t="s">
        <v>27</v>
      </c>
      <c r="M180" s="107"/>
      <c r="N180" s="107" t="s">
        <v>39</v>
      </c>
    </row>
    <row r="181" spans="1:14" x14ac:dyDescent="0.25">
      <c r="A181" s="107" t="s">
        <v>162</v>
      </c>
      <c r="B181" s="107" t="s">
        <v>163</v>
      </c>
      <c r="C181" s="107" t="s">
        <v>23</v>
      </c>
      <c r="D181" s="107" t="str">
        <f>_xlfn.CONCAT(Tableau3[[#This Row],[N.Star]]," ",Tableau3[[#This Row],[Const.]])</f>
        <v>DELTA Cep</v>
      </c>
      <c r="E181" s="108">
        <v>44172.99</v>
      </c>
      <c r="F181" s="108">
        <f>Tableau3[[#This Row],[ToM(+2400000)]]+2400000</f>
        <v>2444172.9900000002</v>
      </c>
      <c r="G181" s="109">
        <v>0.15</v>
      </c>
      <c r="H181" s="110" t="s">
        <v>24</v>
      </c>
      <c r="I181" s="107" t="s">
        <v>25</v>
      </c>
      <c r="J181" s="107" t="s">
        <v>26</v>
      </c>
      <c r="K181" s="107" t="s">
        <v>43</v>
      </c>
      <c r="L181" s="107" t="s">
        <v>148</v>
      </c>
      <c r="M181" s="107"/>
      <c r="N181" s="107"/>
    </row>
    <row r="182" spans="1:14" x14ac:dyDescent="0.25">
      <c r="A182" s="107" t="s">
        <v>162</v>
      </c>
      <c r="B182" s="107" t="s">
        <v>163</v>
      </c>
      <c r="C182" s="107" t="s">
        <v>23</v>
      </c>
      <c r="D182" s="107" t="str">
        <f>_xlfn.CONCAT(Tableau3[[#This Row],[N.Star]]," ",Tableau3[[#This Row],[Const.]])</f>
        <v>DELTA Cep</v>
      </c>
      <c r="E182" s="108">
        <v>47473.45</v>
      </c>
      <c r="F182" s="108">
        <f>Tableau3[[#This Row],[ToM(+2400000)]]+2400000</f>
        <v>2447473.4500000002</v>
      </c>
      <c r="G182" s="109">
        <v>0.11</v>
      </c>
      <c r="H182" s="110" t="s">
        <v>24</v>
      </c>
      <c r="I182" s="107" t="s">
        <v>116</v>
      </c>
      <c r="J182" s="107" t="s">
        <v>26</v>
      </c>
      <c r="K182" s="107" t="s">
        <v>57</v>
      </c>
      <c r="L182" s="107" t="s">
        <v>59</v>
      </c>
      <c r="M182" s="107"/>
      <c r="N182" s="107"/>
    </row>
    <row r="183" spans="1:14" x14ac:dyDescent="0.25">
      <c r="A183" s="107" t="s">
        <v>162</v>
      </c>
      <c r="B183" s="107" t="s">
        <v>163</v>
      </c>
      <c r="C183" s="107" t="s">
        <v>23</v>
      </c>
      <c r="D183" s="107" t="str">
        <f>_xlfn.CONCAT(Tableau3[[#This Row],[N.Star]]," ",Tableau3[[#This Row],[Const.]])</f>
        <v>DELTA Cep</v>
      </c>
      <c r="E183" s="108">
        <v>54073.99</v>
      </c>
      <c r="F183" s="108">
        <f>Tableau3[[#This Row],[ToM(+2400000)]]+2400000</f>
        <v>2454073.9900000002</v>
      </c>
      <c r="G183" s="109">
        <v>0.22</v>
      </c>
      <c r="H183" s="110" t="s">
        <v>24</v>
      </c>
      <c r="I183" s="107" t="s">
        <v>128</v>
      </c>
      <c r="J183" s="107" t="s">
        <v>26</v>
      </c>
      <c r="K183" s="107" t="s">
        <v>126</v>
      </c>
      <c r="L183" s="107" t="s">
        <v>140</v>
      </c>
      <c r="M183" s="107"/>
      <c r="N183" s="107"/>
    </row>
    <row r="184" spans="1:14" x14ac:dyDescent="0.25">
      <c r="A184" s="73" t="s">
        <v>162</v>
      </c>
      <c r="B184" s="73" t="s">
        <v>168</v>
      </c>
      <c r="C184" s="73" t="s">
        <v>23</v>
      </c>
      <c r="D184" s="73" t="str">
        <f>_xlfn.CONCAT(Tableau3[[#This Row],[N.Star]]," ",Tableau3[[#This Row],[Const.]])</f>
        <v>IR Cep</v>
      </c>
      <c r="E184" s="100">
        <v>43413.32</v>
      </c>
      <c r="F184" s="100">
        <f>Tableau3[[#This Row],[ToM(+2400000)]]+2400000</f>
        <v>2443413.3199999998</v>
      </c>
      <c r="G184" s="101">
        <v>0.15</v>
      </c>
      <c r="H184" s="102" t="s">
        <v>24</v>
      </c>
      <c r="I184" s="73" t="s">
        <v>47</v>
      </c>
      <c r="J184" s="73" t="s">
        <v>26</v>
      </c>
      <c r="K184" s="73" t="s">
        <v>43</v>
      </c>
      <c r="L184" s="73" t="s">
        <v>148</v>
      </c>
      <c r="M184" s="73"/>
      <c r="N184" s="73"/>
    </row>
    <row r="185" spans="1:14" x14ac:dyDescent="0.25">
      <c r="A185" s="73" t="s">
        <v>162</v>
      </c>
      <c r="B185" s="73" t="s">
        <v>168</v>
      </c>
      <c r="C185" s="73" t="s">
        <v>23</v>
      </c>
      <c r="D185" s="73" t="str">
        <f>_xlfn.CONCAT(Tableau3[[#This Row],[N.Star]]," ",Tableau3[[#This Row],[Const.]])</f>
        <v>IR Cep</v>
      </c>
      <c r="E185" s="100">
        <v>43419.51</v>
      </c>
      <c r="F185" s="100">
        <f>Tableau3[[#This Row],[ToM(+2400000)]]+2400000</f>
        <v>2443419.5099999998</v>
      </c>
      <c r="G185" s="101">
        <v>0.15</v>
      </c>
      <c r="H185" s="102" t="s">
        <v>24</v>
      </c>
      <c r="I185" s="73" t="s">
        <v>45</v>
      </c>
      <c r="J185" s="73" t="s">
        <v>26</v>
      </c>
      <c r="K185" s="73" t="s">
        <v>43</v>
      </c>
      <c r="L185" s="73" t="s">
        <v>148</v>
      </c>
      <c r="M185" s="73"/>
      <c r="N185" s="73"/>
    </row>
    <row r="186" spans="1:14" x14ac:dyDescent="0.25">
      <c r="A186" s="73" t="s">
        <v>162</v>
      </c>
      <c r="B186" s="73" t="s">
        <v>168</v>
      </c>
      <c r="C186" s="73" t="s">
        <v>23</v>
      </c>
      <c r="D186" s="73" t="str">
        <f>_xlfn.CONCAT(Tableau3[[#This Row],[N.Star]]," ",Tableau3[[#This Row],[Const.]])</f>
        <v>IR Cep</v>
      </c>
      <c r="E186" s="100">
        <v>43432.26</v>
      </c>
      <c r="F186" s="100">
        <f>Tableau3[[#This Row],[ToM(+2400000)]]+2400000</f>
        <v>2443432.2599999998</v>
      </c>
      <c r="G186" s="101">
        <v>0.15</v>
      </c>
      <c r="H186" s="102" t="s">
        <v>24</v>
      </c>
      <c r="I186" s="73" t="s">
        <v>70</v>
      </c>
      <c r="J186" s="73" t="s">
        <v>26</v>
      </c>
      <c r="K186" s="73" t="s">
        <v>43</v>
      </c>
      <c r="L186" s="73" t="s">
        <v>148</v>
      </c>
      <c r="M186" s="73"/>
      <c r="N186" s="73"/>
    </row>
    <row r="187" spans="1:14" x14ac:dyDescent="0.25">
      <c r="A187" s="73" t="s">
        <v>162</v>
      </c>
      <c r="B187" s="73" t="s">
        <v>168</v>
      </c>
      <c r="C187" s="73" t="s">
        <v>23</v>
      </c>
      <c r="D187" s="73" t="str">
        <f>_xlfn.CONCAT(Tableau3[[#This Row],[N.Star]]," ",Tableau3[[#This Row],[Const.]])</f>
        <v>IR Cep</v>
      </c>
      <c r="E187" s="100">
        <v>43457.67</v>
      </c>
      <c r="F187" s="100">
        <f>Tableau3[[#This Row],[ToM(+2400000)]]+2400000</f>
        <v>2443457.67</v>
      </c>
      <c r="G187" s="101">
        <v>0.15</v>
      </c>
      <c r="H187" s="102" t="s">
        <v>24</v>
      </c>
      <c r="I187" s="73" t="s">
        <v>54</v>
      </c>
      <c r="J187" s="73" t="s">
        <v>26</v>
      </c>
      <c r="K187" s="73" t="s">
        <v>43</v>
      </c>
      <c r="L187" s="73" t="s">
        <v>148</v>
      </c>
      <c r="M187" s="73"/>
      <c r="N187" s="73"/>
    </row>
    <row r="188" spans="1:14" x14ac:dyDescent="0.25">
      <c r="A188" s="73" t="s">
        <v>162</v>
      </c>
      <c r="B188" s="73" t="s">
        <v>168</v>
      </c>
      <c r="C188" s="73" t="s">
        <v>23</v>
      </c>
      <c r="D188" s="73" t="str">
        <f>_xlfn.CONCAT(Tableau3[[#This Row],[N.Star]]," ",Tableau3[[#This Row],[Const.]])</f>
        <v>IR Cep</v>
      </c>
      <c r="E188" s="100">
        <v>43519</v>
      </c>
      <c r="F188" s="100">
        <f>Tableau3[[#This Row],[ToM(+2400000)]]+2400000</f>
        <v>2443519</v>
      </c>
      <c r="G188" s="101">
        <v>0.15</v>
      </c>
      <c r="H188" s="102" t="s">
        <v>24</v>
      </c>
      <c r="I188" s="73" t="s">
        <v>55</v>
      </c>
      <c r="J188" s="73" t="s">
        <v>26</v>
      </c>
      <c r="K188" s="73" t="s">
        <v>43</v>
      </c>
      <c r="L188" s="73" t="s">
        <v>148</v>
      </c>
      <c r="M188" s="73"/>
      <c r="N188" s="73"/>
    </row>
    <row r="189" spans="1:14" x14ac:dyDescent="0.25">
      <c r="A189" s="73" t="s">
        <v>162</v>
      </c>
      <c r="B189" s="73" t="s">
        <v>168</v>
      </c>
      <c r="C189" s="73" t="s">
        <v>23</v>
      </c>
      <c r="D189" s="73" t="str">
        <f>_xlfn.CONCAT(Tableau3[[#This Row],[N.Star]]," ",Tableau3[[#This Row],[Const.]])</f>
        <v>IR Cep</v>
      </c>
      <c r="E189" s="100">
        <v>43692.22</v>
      </c>
      <c r="F189" s="100">
        <f>Tableau3[[#This Row],[ToM(+2400000)]]+2400000</f>
        <v>2443692.2200000002</v>
      </c>
      <c r="G189" s="101">
        <v>0.15</v>
      </c>
      <c r="H189" s="102" t="s">
        <v>24</v>
      </c>
      <c r="I189" s="73" t="s">
        <v>66</v>
      </c>
      <c r="J189" s="73" t="s">
        <v>26</v>
      </c>
      <c r="K189" s="73" t="s">
        <v>43</v>
      </c>
      <c r="L189" s="73" t="s">
        <v>148</v>
      </c>
      <c r="M189" s="73"/>
      <c r="N189" s="73"/>
    </row>
    <row r="190" spans="1:14" x14ac:dyDescent="0.25">
      <c r="A190" s="73" t="s">
        <v>162</v>
      </c>
      <c r="B190" s="73" t="s">
        <v>168</v>
      </c>
      <c r="C190" s="73" t="s">
        <v>23</v>
      </c>
      <c r="D190" s="73" t="str">
        <f>_xlfn.CONCAT(Tableau3[[#This Row],[N.Star]]," ",Tableau3[[#This Row],[Const.]])</f>
        <v>IR Cep</v>
      </c>
      <c r="E190" s="100">
        <v>44698.7</v>
      </c>
      <c r="F190" s="100">
        <f>Tableau3[[#This Row],[ToM(+2400000)]]+2400000</f>
        <v>2444698.7000000002</v>
      </c>
      <c r="G190" s="101">
        <v>0.06</v>
      </c>
      <c r="H190" s="102" t="s">
        <v>24</v>
      </c>
      <c r="I190" s="73" t="s">
        <v>25</v>
      </c>
      <c r="J190" s="73" t="s">
        <v>26</v>
      </c>
      <c r="K190" s="73" t="s">
        <v>27</v>
      </c>
      <c r="L190" s="73" t="s">
        <v>27</v>
      </c>
      <c r="M190" s="73"/>
      <c r="N190" s="73" t="s">
        <v>39</v>
      </c>
    </row>
    <row r="191" spans="1:14" x14ac:dyDescent="0.25">
      <c r="A191" s="73" t="s">
        <v>162</v>
      </c>
      <c r="B191" s="73" t="s">
        <v>168</v>
      </c>
      <c r="C191" s="73" t="s">
        <v>23</v>
      </c>
      <c r="D191" s="73" t="str">
        <f>_xlfn.CONCAT(Tableau3[[#This Row],[N.Star]]," ",Tableau3[[#This Row],[Const.]])</f>
        <v>IR Cep</v>
      </c>
      <c r="E191" s="100">
        <v>45250.31</v>
      </c>
      <c r="F191" s="100">
        <f>Tableau3[[#This Row],[ToM(+2400000)]]+2400000</f>
        <v>2445250.31</v>
      </c>
      <c r="G191" s="101">
        <v>0.1</v>
      </c>
      <c r="H191" s="102" t="s">
        <v>24</v>
      </c>
      <c r="I191" s="73" t="s">
        <v>122</v>
      </c>
      <c r="J191" s="73" t="s">
        <v>26</v>
      </c>
      <c r="K191" s="73" t="s">
        <v>27</v>
      </c>
      <c r="L191" s="73" t="s">
        <v>27</v>
      </c>
      <c r="M191" s="73"/>
      <c r="N191" s="73"/>
    </row>
    <row r="192" spans="1:14" x14ac:dyDescent="0.25">
      <c r="A192" s="73" t="s">
        <v>162</v>
      </c>
      <c r="B192" s="73" t="s">
        <v>168</v>
      </c>
      <c r="C192" s="73" t="s">
        <v>23</v>
      </c>
      <c r="D192" s="73" t="str">
        <f>_xlfn.CONCAT(Tableau3[[#This Row],[N.Star]]," ",Tableau3[[#This Row],[Const.]])</f>
        <v>IR Cep</v>
      </c>
      <c r="E192" s="100">
        <v>45599.21</v>
      </c>
      <c r="F192" s="100">
        <f>Tableau3[[#This Row],[ToM(+2400000)]]+2400000</f>
        <v>2445599.21</v>
      </c>
      <c r="G192" s="101">
        <v>0.04</v>
      </c>
      <c r="H192" s="102" t="s">
        <v>24</v>
      </c>
      <c r="I192" s="73" t="s">
        <v>25</v>
      </c>
      <c r="J192" s="73" t="s">
        <v>26</v>
      </c>
      <c r="K192" s="73" t="s">
        <v>27</v>
      </c>
      <c r="L192" s="73" t="s">
        <v>27</v>
      </c>
      <c r="M192" s="73"/>
      <c r="N192" s="73" t="s">
        <v>39</v>
      </c>
    </row>
    <row r="193" spans="1:14" x14ac:dyDescent="0.25">
      <c r="A193" s="73" t="s">
        <v>162</v>
      </c>
      <c r="B193" s="73" t="s">
        <v>168</v>
      </c>
      <c r="C193" s="73" t="s">
        <v>23</v>
      </c>
      <c r="D193" s="73" t="str">
        <f>_xlfn.CONCAT(Tableau3[[#This Row],[N.Star]]," ",Tableau3[[#This Row],[Const.]])</f>
        <v>IR Cep</v>
      </c>
      <c r="E193" s="100">
        <v>45990.451999999997</v>
      </c>
      <c r="F193" s="100">
        <f>Tableau3[[#This Row],[ToM(+2400000)]]+2400000</f>
        <v>2445990.452</v>
      </c>
      <c r="G193" s="101">
        <v>0.08</v>
      </c>
      <c r="H193" s="102" t="s">
        <v>24</v>
      </c>
      <c r="I193" s="73" t="s">
        <v>122</v>
      </c>
      <c r="J193" s="73" t="s">
        <v>26</v>
      </c>
      <c r="K193" s="73" t="s">
        <v>27</v>
      </c>
      <c r="L193" s="73" t="s">
        <v>27</v>
      </c>
      <c r="M193" s="73"/>
      <c r="N193" s="73"/>
    </row>
    <row r="194" spans="1:14" x14ac:dyDescent="0.25">
      <c r="A194" s="73" t="s">
        <v>162</v>
      </c>
      <c r="B194" s="73" t="s">
        <v>168</v>
      </c>
      <c r="C194" s="73" t="s">
        <v>23</v>
      </c>
      <c r="D194" s="73" t="str">
        <f>_xlfn.CONCAT(Tableau3[[#This Row],[N.Star]]," ",Tableau3[[#This Row],[Const.]])</f>
        <v>IR Cep</v>
      </c>
      <c r="E194" s="100">
        <v>59021.41</v>
      </c>
      <c r="F194" s="100">
        <f>Tableau3[[#This Row],[ToM(+2400000)]]+2400000</f>
        <v>2459021.41</v>
      </c>
      <c r="G194" s="101">
        <v>0.06</v>
      </c>
      <c r="H194" s="102" t="s">
        <v>24</v>
      </c>
      <c r="I194" s="73" t="s">
        <v>122</v>
      </c>
      <c r="J194" s="73" t="s">
        <v>26</v>
      </c>
      <c r="K194" s="73" t="s">
        <v>27</v>
      </c>
      <c r="L194" s="73" t="s">
        <v>27</v>
      </c>
      <c r="M194" s="73"/>
      <c r="N194" s="73"/>
    </row>
    <row r="195" spans="1:14" x14ac:dyDescent="0.25">
      <c r="A195" s="73" t="s">
        <v>162</v>
      </c>
      <c r="B195" s="73" t="s">
        <v>168</v>
      </c>
      <c r="C195" s="73" t="s">
        <v>23</v>
      </c>
      <c r="D195" s="73" t="str">
        <f>_xlfn.CONCAT(Tableau3[[#This Row],[N.Star]]," ",Tableau3[[#This Row],[Const.]])</f>
        <v>IR Cep</v>
      </c>
      <c r="E195" s="100">
        <v>59097.639000000003</v>
      </c>
      <c r="F195" s="100">
        <f>Tableau3[[#This Row],[ToM(+2400000)]]+2400000</f>
        <v>2459097.639</v>
      </c>
      <c r="G195" s="101">
        <v>0.15</v>
      </c>
      <c r="H195" s="102" t="s">
        <v>24</v>
      </c>
      <c r="I195" s="73" t="s">
        <v>25</v>
      </c>
      <c r="J195" s="73" t="s">
        <v>26</v>
      </c>
      <c r="K195" s="73" t="s">
        <v>169</v>
      </c>
      <c r="L195" s="73" t="s">
        <v>27</v>
      </c>
      <c r="M195" s="73"/>
      <c r="N195" s="73" t="s">
        <v>39</v>
      </c>
    </row>
    <row r="196" spans="1:14" x14ac:dyDescent="0.25">
      <c r="A196" s="73" t="s">
        <v>162</v>
      </c>
      <c r="B196" s="73" t="s">
        <v>168</v>
      </c>
      <c r="C196" s="73" t="s">
        <v>23</v>
      </c>
      <c r="D196" s="73" t="str">
        <f>_xlfn.CONCAT(Tableau3[[#This Row],[N.Star]]," ",Tableau3[[#This Row],[Const.]])</f>
        <v>IR Cep</v>
      </c>
      <c r="E196" s="100">
        <v>59374.591</v>
      </c>
      <c r="F196" s="100">
        <f>Tableau3[[#This Row],[ToM(+2400000)]]+2400000</f>
        <v>2459374.591</v>
      </c>
      <c r="G196" s="101">
        <v>0.17</v>
      </c>
      <c r="H196" s="102" t="s">
        <v>24</v>
      </c>
      <c r="I196" s="73" t="s">
        <v>122</v>
      </c>
      <c r="J196" s="73" t="s">
        <v>26</v>
      </c>
      <c r="K196" s="73" t="s">
        <v>27</v>
      </c>
      <c r="L196" s="73" t="s">
        <v>27</v>
      </c>
      <c r="M196" s="73"/>
      <c r="N196" s="73"/>
    </row>
    <row r="197" spans="1:14" x14ac:dyDescent="0.25">
      <c r="A197" s="73" t="s">
        <v>162</v>
      </c>
      <c r="B197" s="73" t="s">
        <v>168</v>
      </c>
      <c r="C197" s="73" t="s">
        <v>23</v>
      </c>
      <c r="D197" s="73" t="str">
        <f>_xlfn.CONCAT(Tableau3[[#This Row],[N.Star]]," ",Tableau3[[#This Row],[Const.]])</f>
        <v>IR Cep</v>
      </c>
      <c r="E197" s="100">
        <v>59427.415000000001</v>
      </c>
      <c r="F197" s="100">
        <f>Tableau3[[#This Row],[ToM(+2400000)]]+2400000</f>
        <v>2459427.415</v>
      </c>
      <c r="G197" s="101">
        <v>0.15</v>
      </c>
      <c r="H197" s="102" t="s">
        <v>24</v>
      </c>
      <c r="I197" s="73" t="s">
        <v>25</v>
      </c>
      <c r="J197" s="73" t="s">
        <v>26</v>
      </c>
      <c r="K197" s="73" t="s">
        <v>170</v>
      </c>
      <c r="L197" s="73" t="s">
        <v>27</v>
      </c>
      <c r="M197" s="73"/>
      <c r="N197" s="73" t="s">
        <v>39</v>
      </c>
    </row>
    <row r="198" spans="1:14" x14ac:dyDescent="0.25">
      <c r="A198" s="73" t="s">
        <v>162</v>
      </c>
      <c r="B198" s="73" t="s">
        <v>168</v>
      </c>
      <c r="C198" s="73" t="s">
        <v>23</v>
      </c>
      <c r="D198" s="73" t="str">
        <f>_xlfn.CONCAT(Tableau3[[#This Row],[N.Star]]," ",Tableau3[[#This Row],[Const.]])</f>
        <v>IR Cep</v>
      </c>
      <c r="E198" s="100">
        <v>59761.447</v>
      </c>
      <c r="F198" s="100">
        <f>Tableau3[[#This Row],[ToM(+2400000)]]+2400000</f>
        <v>2459761.4470000002</v>
      </c>
      <c r="G198" s="101">
        <v>0.15</v>
      </c>
      <c r="H198" s="102" t="s">
        <v>24</v>
      </c>
      <c r="I198" s="73" t="s">
        <v>25</v>
      </c>
      <c r="J198" s="73" t="s">
        <v>26</v>
      </c>
      <c r="K198" s="73" t="s">
        <v>171</v>
      </c>
      <c r="L198" s="73" t="s">
        <v>27</v>
      </c>
      <c r="M198" s="73"/>
      <c r="N198" s="73" t="s">
        <v>39</v>
      </c>
    </row>
    <row r="199" spans="1:14" x14ac:dyDescent="0.25">
      <c r="A199" s="73" t="s">
        <v>162</v>
      </c>
      <c r="B199" s="73" t="s">
        <v>168</v>
      </c>
      <c r="C199" s="73" t="s">
        <v>23</v>
      </c>
      <c r="D199" s="73" t="str">
        <f>_xlfn.CONCAT(Tableau3[[#This Row],[N.Star]]," ",Tableau3[[#This Row],[Const.]])</f>
        <v>IR Cep</v>
      </c>
      <c r="E199" s="100">
        <v>59993.959000000003</v>
      </c>
      <c r="F199" s="100">
        <f>Tableau3[[#This Row],[ToM(+2400000)]]+2400000</f>
        <v>2459993.9589999998</v>
      </c>
      <c r="G199" s="101">
        <v>0.15</v>
      </c>
      <c r="H199" s="102" t="s">
        <v>24</v>
      </c>
      <c r="I199" s="73" t="s">
        <v>25</v>
      </c>
      <c r="J199" s="73" t="s">
        <v>26</v>
      </c>
      <c r="K199" s="73" t="s">
        <v>62</v>
      </c>
      <c r="L199" s="73" t="s">
        <v>27</v>
      </c>
      <c r="M199" s="73"/>
      <c r="N199" s="73" t="s">
        <v>39</v>
      </c>
    </row>
    <row r="200" spans="1:14" x14ac:dyDescent="0.25">
      <c r="A200" t="s">
        <v>172</v>
      </c>
      <c r="B200" t="s">
        <v>173</v>
      </c>
      <c r="C200" t="s">
        <v>23</v>
      </c>
      <c r="D200" t="str">
        <f>_xlfn.CONCAT(Tableau3[[#This Row],[N.Star]]," ",Tableau3[[#This Row],[Const.]])</f>
        <v>DT Cyg</v>
      </c>
      <c r="E200" s="8">
        <v>43010.131999999998</v>
      </c>
      <c r="F200" s="8">
        <f>Tableau3[[#This Row],[ToM(+2400000)]]+2400000</f>
        <v>2443010.1320000002</v>
      </c>
      <c r="G200" s="34">
        <v>0.15</v>
      </c>
      <c r="H200" s="3" t="s">
        <v>24</v>
      </c>
      <c r="I200" t="s">
        <v>47</v>
      </c>
      <c r="J200" t="s">
        <v>26</v>
      </c>
      <c r="K200" t="s">
        <v>40</v>
      </c>
      <c r="L200" t="s">
        <v>41</v>
      </c>
    </row>
    <row r="201" spans="1:14" x14ac:dyDescent="0.25">
      <c r="A201" t="s">
        <v>172</v>
      </c>
      <c r="B201" t="s">
        <v>173</v>
      </c>
      <c r="C201" t="s">
        <v>23</v>
      </c>
      <c r="D201" t="str">
        <f>_xlfn.CONCAT(Tableau3[[#This Row],[N.Star]]," ",Tableau3[[#This Row],[Const.]])</f>
        <v>DT Cyg</v>
      </c>
      <c r="E201" s="8">
        <v>43359.839999999997</v>
      </c>
      <c r="F201" s="8">
        <f>Tableau3[[#This Row],[ToM(+2400000)]]+2400000</f>
        <v>2443359.84</v>
      </c>
      <c r="G201" s="34">
        <v>0.1</v>
      </c>
      <c r="H201" s="3" t="s">
        <v>24</v>
      </c>
      <c r="I201" t="s">
        <v>66</v>
      </c>
      <c r="J201" t="s">
        <v>26</v>
      </c>
      <c r="K201" t="s">
        <v>78</v>
      </c>
      <c r="L201" t="s">
        <v>174</v>
      </c>
    </row>
    <row r="202" spans="1:14" x14ac:dyDescent="0.25">
      <c r="A202" t="s">
        <v>172</v>
      </c>
      <c r="B202" t="s">
        <v>173</v>
      </c>
      <c r="C202" t="s">
        <v>23</v>
      </c>
      <c r="D202" t="str">
        <f>_xlfn.CONCAT(Tableau3[[#This Row],[N.Star]]," ",Tableau3[[#This Row],[Const.]])</f>
        <v>DT Cyg</v>
      </c>
      <c r="E202" s="8">
        <v>43389.29</v>
      </c>
      <c r="F202" s="8">
        <f>Tableau3[[#This Row],[ToM(+2400000)]]+2400000</f>
        <v>2443389.29</v>
      </c>
      <c r="G202" s="34">
        <v>0.1</v>
      </c>
      <c r="H202" s="3" t="s">
        <v>24</v>
      </c>
      <c r="I202" t="s">
        <v>175</v>
      </c>
      <c r="J202" t="s">
        <v>26</v>
      </c>
      <c r="K202" t="s">
        <v>78</v>
      </c>
      <c r="L202" t="s">
        <v>174</v>
      </c>
    </row>
    <row r="203" spans="1:14" x14ac:dyDescent="0.25">
      <c r="A203" t="s">
        <v>172</v>
      </c>
      <c r="B203" t="s">
        <v>173</v>
      </c>
      <c r="C203" t="s">
        <v>23</v>
      </c>
      <c r="D203" t="str">
        <f>_xlfn.CONCAT(Tableau3[[#This Row],[N.Star]]," ",Tableau3[[#This Row],[Const.]])</f>
        <v>DT Cyg</v>
      </c>
      <c r="E203" s="8">
        <v>43397.27</v>
      </c>
      <c r="F203" s="8">
        <f>Tableau3[[#This Row],[ToM(+2400000)]]+2400000</f>
        <v>2443397.27</v>
      </c>
      <c r="G203" s="34">
        <v>0.15</v>
      </c>
      <c r="H203" s="3" t="s">
        <v>24</v>
      </c>
      <c r="I203" t="s">
        <v>55</v>
      </c>
      <c r="J203" t="s">
        <v>26</v>
      </c>
      <c r="K203" t="s">
        <v>52</v>
      </c>
      <c r="L203" t="s">
        <v>53</v>
      </c>
    </row>
    <row r="204" spans="1:14" x14ac:dyDescent="0.25">
      <c r="A204" t="s">
        <v>172</v>
      </c>
      <c r="B204" t="s">
        <v>173</v>
      </c>
      <c r="C204" t="s">
        <v>23</v>
      </c>
      <c r="D204" t="str">
        <f>_xlfn.CONCAT(Tableau3[[#This Row],[N.Star]]," ",Tableau3[[#This Row],[Const.]])</f>
        <v>DT Cyg</v>
      </c>
      <c r="E204" s="8">
        <v>43404.52</v>
      </c>
      <c r="F204" s="8">
        <f>Tableau3[[#This Row],[ToM(+2400000)]]+2400000</f>
        <v>2443404.52</v>
      </c>
      <c r="G204" s="34">
        <v>0.1</v>
      </c>
      <c r="H204" s="3" t="s">
        <v>24</v>
      </c>
      <c r="I204" t="s">
        <v>54</v>
      </c>
      <c r="J204" t="s">
        <v>26</v>
      </c>
      <c r="K204" t="s">
        <v>78</v>
      </c>
      <c r="L204" t="s">
        <v>174</v>
      </c>
    </row>
    <row r="205" spans="1:14" x14ac:dyDescent="0.25">
      <c r="A205" t="s">
        <v>172</v>
      </c>
      <c r="B205" t="s">
        <v>173</v>
      </c>
      <c r="C205" t="s">
        <v>23</v>
      </c>
      <c r="D205" t="str">
        <f>_xlfn.CONCAT(Tableau3[[#This Row],[N.Star]]," ",Tableau3[[#This Row],[Const.]])</f>
        <v>DT Cyg</v>
      </c>
      <c r="E205" s="8">
        <v>43417.120000000003</v>
      </c>
      <c r="F205" s="8">
        <f>Tableau3[[#This Row],[ToM(+2400000)]]+2400000</f>
        <v>2443417.12</v>
      </c>
      <c r="G205" s="34">
        <v>0.1</v>
      </c>
      <c r="H205" s="3" t="s">
        <v>24</v>
      </c>
      <c r="I205" t="s">
        <v>70</v>
      </c>
      <c r="J205" t="s">
        <v>26</v>
      </c>
      <c r="K205" t="s">
        <v>78</v>
      </c>
      <c r="L205" t="s">
        <v>174</v>
      </c>
    </row>
    <row r="206" spans="1:14" x14ac:dyDescent="0.25">
      <c r="A206" t="s">
        <v>172</v>
      </c>
      <c r="B206" t="s">
        <v>173</v>
      </c>
      <c r="C206" t="s">
        <v>23</v>
      </c>
      <c r="D206" t="str">
        <f>_xlfn.CONCAT(Tableau3[[#This Row],[N.Star]]," ",Tableau3[[#This Row],[Const.]])</f>
        <v>DT Cyg</v>
      </c>
      <c r="E206" s="8">
        <v>43446.8</v>
      </c>
      <c r="F206" s="8">
        <f>Tableau3[[#This Row],[ToM(+2400000)]]+2400000</f>
        <v>2443446.7999999998</v>
      </c>
      <c r="G206" s="34">
        <v>0.1</v>
      </c>
      <c r="H206" s="3" t="s">
        <v>24</v>
      </c>
      <c r="I206" t="s">
        <v>102</v>
      </c>
      <c r="J206" t="s">
        <v>26</v>
      </c>
      <c r="K206" t="s">
        <v>78</v>
      </c>
      <c r="L206" t="s">
        <v>174</v>
      </c>
    </row>
    <row r="207" spans="1:14" x14ac:dyDescent="0.25">
      <c r="A207" t="s">
        <v>172</v>
      </c>
      <c r="B207" t="s">
        <v>173</v>
      </c>
      <c r="C207" t="s">
        <v>23</v>
      </c>
      <c r="D207" t="str">
        <f>_xlfn.CONCAT(Tableau3[[#This Row],[N.Star]]," ",Tableau3[[#This Row],[Const.]])</f>
        <v>DT Cyg</v>
      </c>
      <c r="E207" s="8">
        <v>43499.59</v>
      </c>
      <c r="F207" s="8">
        <f>Tableau3[[#This Row],[ToM(+2400000)]]+2400000</f>
        <v>2443499.59</v>
      </c>
      <c r="G207" s="34">
        <v>0.1</v>
      </c>
      <c r="H207" s="3" t="s">
        <v>24</v>
      </c>
      <c r="I207" t="s">
        <v>100</v>
      </c>
      <c r="J207" t="s">
        <v>26</v>
      </c>
      <c r="K207" t="s">
        <v>78</v>
      </c>
      <c r="L207" t="s">
        <v>174</v>
      </c>
    </row>
    <row r="208" spans="1:14" x14ac:dyDescent="0.25">
      <c r="A208" t="s">
        <v>172</v>
      </c>
      <c r="B208" t="s">
        <v>173</v>
      </c>
      <c r="C208" t="s">
        <v>23</v>
      </c>
      <c r="D208" t="str">
        <f>_xlfn.CONCAT(Tableau3[[#This Row],[N.Star]]," ",Tableau3[[#This Row],[Const.]])</f>
        <v>DT Cyg</v>
      </c>
      <c r="E208" s="8">
        <v>43499.6</v>
      </c>
      <c r="F208" s="8">
        <f>Tableau3[[#This Row],[ToM(+2400000)]]+2400000</f>
        <v>2443499.6</v>
      </c>
      <c r="G208" s="34">
        <v>0.2</v>
      </c>
      <c r="H208" s="3" t="s">
        <v>24</v>
      </c>
      <c r="I208" t="s">
        <v>100</v>
      </c>
      <c r="J208" t="s">
        <v>26</v>
      </c>
      <c r="K208" t="s">
        <v>49</v>
      </c>
      <c r="L208" t="s">
        <v>176</v>
      </c>
    </row>
    <row r="209" spans="1:14" x14ac:dyDescent="0.25">
      <c r="A209" t="s">
        <v>172</v>
      </c>
      <c r="B209" t="s">
        <v>173</v>
      </c>
      <c r="C209" t="s">
        <v>23</v>
      </c>
      <c r="D209" t="str">
        <f>_xlfn.CONCAT(Tableau3[[#This Row],[N.Star]]," ",Tableau3[[#This Row],[Const.]])</f>
        <v>DT Cyg</v>
      </c>
      <c r="E209" s="8">
        <v>43634.49</v>
      </c>
      <c r="F209" s="8">
        <f>Tableau3[[#This Row],[ToM(+2400000)]]+2400000</f>
        <v>2443634.4900000002</v>
      </c>
      <c r="G209" s="34">
        <v>0.1</v>
      </c>
      <c r="H209" s="3" t="s">
        <v>24</v>
      </c>
      <c r="I209" t="s">
        <v>149</v>
      </c>
      <c r="J209" t="s">
        <v>26</v>
      </c>
      <c r="K209" t="s">
        <v>78</v>
      </c>
      <c r="L209" t="s">
        <v>174</v>
      </c>
    </row>
    <row r="210" spans="1:14" x14ac:dyDescent="0.25">
      <c r="A210" t="s">
        <v>172</v>
      </c>
      <c r="B210" t="s">
        <v>173</v>
      </c>
      <c r="C210" t="s">
        <v>23</v>
      </c>
      <c r="D210" t="str">
        <f>_xlfn.CONCAT(Tableau3[[#This Row],[N.Star]]," ",Tableau3[[#This Row],[Const.]])</f>
        <v>DT Cyg</v>
      </c>
      <c r="E210" s="8">
        <v>43761.919999999998</v>
      </c>
      <c r="F210" s="8">
        <f>Tableau3[[#This Row],[ToM(+2400000)]]+2400000</f>
        <v>2443761.92</v>
      </c>
      <c r="G210" s="34">
        <v>7.0000000000000007E-2</v>
      </c>
      <c r="H210" s="3" t="s">
        <v>24</v>
      </c>
      <c r="I210" t="s">
        <v>100</v>
      </c>
      <c r="J210" t="s">
        <v>26</v>
      </c>
      <c r="K210" t="s">
        <v>49</v>
      </c>
      <c r="L210" t="s">
        <v>176</v>
      </c>
    </row>
    <row r="211" spans="1:14" x14ac:dyDescent="0.25">
      <c r="A211" t="s">
        <v>172</v>
      </c>
      <c r="B211" t="s">
        <v>173</v>
      </c>
      <c r="C211" t="s">
        <v>23</v>
      </c>
      <c r="D211" t="str">
        <f>_xlfn.CONCAT(Tableau3[[#This Row],[N.Star]]," ",Tableau3[[#This Row],[Const.]])</f>
        <v>DT Cyg</v>
      </c>
      <c r="E211" s="8">
        <v>43832.02</v>
      </c>
      <c r="F211" s="8">
        <f>Tableau3[[#This Row],[ToM(+2400000)]]+2400000</f>
        <v>2443832.02</v>
      </c>
      <c r="G211" s="34">
        <v>0.1</v>
      </c>
      <c r="H211" s="3" t="s">
        <v>24</v>
      </c>
      <c r="I211" t="s">
        <v>177</v>
      </c>
      <c r="J211" t="s">
        <v>26</v>
      </c>
      <c r="K211" t="s">
        <v>78</v>
      </c>
      <c r="L211" t="s">
        <v>174</v>
      </c>
    </row>
    <row r="212" spans="1:14" x14ac:dyDescent="0.25">
      <c r="A212" t="s">
        <v>172</v>
      </c>
      <c r="B212" t="s">
        <v>173</v>
      </c>
      <c r="C212" t="s">
        <v>23</v>
      </c>
      <c r="D212" t="str">
        <f>_xlfn.CONCAT(Tableau3[[#This Row],[N.Star]]," ",Tableau3[[#This Row],[Const.]])</f>
        <v>DT Cyg</v>
      </c>
      <c r="E212" s="8">
        <v>44271.652999999998</v>
      </c>
      <c r="F212" s="8">
        <f>Tableau3[[#This Row],[ToM(+2400000)]]+2400000</f>
        <v>2444271.6529999999</v>
      </c>
      <c r="G212" s="34">
        <v>0.1</v>
      </c>
      <c r="H212" s="3" t="s">
        <v>24</v>
      </c>
      <c r="I212" t="s">
        <v>25</v>
      </c>
      <c r="J212" t="s">
        <v>26</v>
      </c>
      <c r="K212" t="s">
        <v>27</v>
      </c>
      <c r="L212" t="s">
        <v>27</v>
      </c>
      <c r="N212" t="s">
        <v>39</v>
      </c>
    </row>
    <row r="213" spans="1:14" x14ac:dyDescent="0.25">
      <c r="A213" s="54" t="s">
        <v>172</v>
      </c>
      <c r="B213" s="54" t="s">
        <v>145</v>
      </c>
      <c r="C213" s="54" t="s">
        <v>23</v>
      </c>
      <c r="D213" s="54" t="str">
        <f>_xlfn.CONCAT(Tableau3[[#This Row],[N.Star]]," ",Tableau3[[#This Row],[Const.]])</f>
        <v>SU Cyg</v>
      </c>
      <c r="E213" s="57">
        <v>42617.39</v>
      </c>
      <c r="F213" s="57">
        <f>Tableau3[[#This Row],[ToM(+2400000)]]+2400000</f>
        <v>2442617.39</v>
      </c>
      <c r="G213" s="55">
        <v>0.08</v>
      </c>
      <c r="H213" s="56" t="s">
        <v>24</v>
      </c>
      <c r="I213" s="54" t="s">
        <v>178</v>
      </c>
      <c r="J213" s="54" t="s">
        <v>26</v>
      </c>
      <c r="K213" s="54" t="s">
        <v>179</v>
      </c>
      <c r="L213" s="54" t="s">
        <v>180</v>
      </c>
      <c r="M213" s="54"/>
      <c r="N213" s="54" t="s">
        <v>34</v>
      </c>
    </row>
    <row r="214" spans="1:14" x14ac:dyDescent="0.25">
      <c r="A214" s="54" t="s">
        <v>172</v>
      </c>
      <c r="B214" s="54" t="s">
        <v>145</v>
      </c>
      <c r="C214" s="54" t="s">
        <v>23</v>
      </c>
      <c r="D214" s="54" t="str">
        <f>_xlfn.CONCAT(Tableau3[[#This Row],[N.Star]]," ",Tableau3[[#This Row],[Const.]])</f>
        <v>SU Cyg</v>
      </c>
      <c r="E214" s="57">
        <v>42651.885000000002</v>
      </c>
      <c r="F214" s="57">
        <f>Tableau3[[#This Row],[ToM(+2400000)]]+2400000</f>
        <v>2442651.8849999998</v>
      </c>
      <c r="G214" s="55">
        <v>0.02</v>
      </c>
      <c r="H214" s="56" t="s">
        <v>24</v>
      </c>
      <c r="I214" s="54" t="s">
        <v>181</v>
      </c>
      <c r="J214" s="54" t="s">
        <v>26</v>
      </c>
      <c r="K214" s="54" t="s">
        <v>32</v>
      </c>
      <c r="L214" s="54" t="s">
        <v>182</v>
      </c>
      <c r="M214" s="54"/>
      <c r="N214" s="54" t="s">
        <v>34</v>
      </c>
    </row>
    <row r="215" spans="1:14" x14ac:dyDescent="0.25">
      <c r="A215" s="54" t="s">
        <v>172</v>
      </c>
      <c r="B215" s="54" t="s">
        <v>145</v>
      </c>
      <c r="C215" s="54" t="s">
        <v>23</v>
      </c>
      <c r="D215" s="54" t="str">
        <f>_xlfn.CONCAT(Tableau3[[#This Row],[N.Star]]," ",Tableau3[[#This Row],[Const.]])</f>
        <v>SU Cyg</v>
      </c>
      <c r="E215" s="57">
        <v>42724.94</v>
      </c>
      <c r="F215" s="57">
        <f>Tableau3[[#This Row],[ToM(+2400000)]]+2400000</f>
        <v>2442724.94</v>
      </c>
      <c r="G215" s="55">
        <v>7.0000000000000007E-2</v>
      </c>
      <c r="H215" s="56" t="s">
        <v>24</v>
      </c>
      <c r="I215" s="54" t="s">
        <v>183</v>
      </c>
      <c r="J215" s="54" t="s">
        <v>26</v>
      </c>
      <c r="K215" s="54" t="s">
        <v>32</v>
      </c>
      <c r="L215" s="54" t="s">
        <v>182</v>
      </c>
      <c r="M215" s="54"/>
      <c r="N215" s="54" t="s">
        <v>34</v>
      </c>
    </row>
    <row r="216" spans="1:14" x14ac:dyDescent="0.25">
      <c r="A216" s="54" t="s">
        <v>172</v>
      </c>
      <c r="B216" s="54" t="s">
        <v>145</v>
      </c>
      <c r="C216" s="54" t="s">
        <v>23</v>
      </c>
      <c r="D216" s="54" t="str">
        <f>_xlfn.CONCAT(Tableau3[[#This Row],[N.Star]]," ",Tableau3[[#This Row],[Const.]])</f>
        <v>SU Cyg</v>
      </c>
      <c r="E216" s="57">
        <v>42767.294000000002</v>
      </c>
      <c r="F216" s="57">
        <f>Tableau3[[#This Row],[ToM(+2400000)]]+2400000</f>
        <v>2442767.2940000002</v>
      </c>
      <c r="G216" s="55">
        <v>0.15</v>
      </c>
      <c r="H216" s="56" t="s">
        <v>24</v>
      </c>
      <c r="I216" s="54" t="s">
        <v>37</v>
      </c>
      <c r="J216" s="54" t="s">
        <v>26</v>
      </c>
      <c r="K216" s="54" t="s">
        <v>32</v>
      </c>
      <c r="L216" s="54" t="s">
        <v>184</v>
      </c>
      <c r="M216" s="54"/>
      <c r="N216" s="54" t="s">
        <v>34</v>
      </c>
    </row>
    <row r="217" spans="1:14" x14ac:dyDescent="0.25">
      <c r="A217" s="54" t="s">
        <v>172</v>
      </c>
      <c r="B217" s="54" t="s">
        <v>145</v>
      </c>
      <c r="C217" s="54" t="s">
        <v>23</v>
      </c>
      <c r="D217" s="54" t="str">
        <f>_xlfn.CONCAT(Tableau3[[#This Row],[N.Star]]," ",Tableau3[[#This Row],[Const.]])</f>
        <v>SU Cyg</v>
      </c>
      <c r="E217" s="57">
        <v>43036.59</v>
      </c>
      <c r="F217" s="57">
        <f>Tableau3[[#This Row],[ToM(+2400000)]]+2400000</f>
        <v>2443036.59</v>
      </c>
      <c r="G217" s="55">
        <v>0.15</v>
      </c>
      <c r="H217" s="56" t="s">
        <v>24</v>
      </c>
      <c r="I217" s="54" t="s">
        <v>70</v>
      </c>
      <c r="J217" s="54" t="s">
        <v>26</v>
      </c>
      <c r="K217" s="54" t="s">
        <v>43</v>
      </c>
      <c r="L217" s="54" t="s">
        <v>148</v>
      </c>
      <c r="M217" s="54"/>
      <c r="N217" s="54"/>
    </row>
    <row r="218" spans="1:14" x14ac:dyDescent="0.25">
      <c r="A218" s="54" t="s">
        <v>172</v>
      </c>
      <c r="B218" s="54" t="s">
        <v>145</v>
      </c>
      <c r="C218" s="54" t="s">
        <v>23</v>
      </c>
      <c r="D218" s="54" t="str">
        <f>_xlfn.CONCAT(Tableau3[[#This Row],[N.Star]]," ",Tableau3[[#This Row],[Const.]])</f>
        <v>SU Cyg</v>
      </c>
      <c r="E218" s="57">
        <v>43040.43</v>
      </c>
      <c r="F218" s="57">
        <f>Tableau3[[#This Row],[ToM(+2400000)]]+2400000</f>
        <v>2443040.4300000002</v>
      </c>
      <c r="G218" s="55">
        <v>0.15</v>
      </c>
      <c r="H218" s="56" t="s">
        <v>24</v>
      </c>
      <c r="I218" s="54" t="s">
        <v>185</v>
      </c>
      <c r="J218" s="54" t="s">
        <v>26</v>
      </c>
      <c r="K218" s="54" t="s">
        <v>43</v>
      </c>
      <c r="L218" s="54" t="s">
        <v>148</v>
      </c>
      <c r="M218" s="54"/>
      <c r="N218" s="54"/>
    </row>
    <row r="219" spans="1:14" x14ac:dyDescent="0.25">
      <c r="A219" s="54" t="s">
        <v>172</v>
      </c>
      <c r="B219" s="54" t="s">
        <v>145</v>
      </c>
      <c r="C219" s="54" t="s">
        <v>23</v>
      </c>
      <c r="D219" s="54" t="str">
        <f>_xlfn.CONCAT(Tableau3[[#This Row],[N.Star]]," ",Tableau3[[#This Row],[Const.]])</f>
        <v>SU Cyg</v>
      </c>
      <c r="E219" s="57">
        <v>43040.480000000003</v>
      </c>
      <c r="F219" s="57">
        <f>Tableau3[[#This Row],[ToM(+2400000)]]+2400000</f>
        <v>2443040.48</v>
      </c>
      <c r="G219" s="55">
        <v>0.15</v>
      </c>
      <c r="H219" s="56" t="s">
        <v>24</v>
      </c>
      <c r="I219" s="54" t="s">
        <v>102</v>
      </c>
      <c r="J219" s="54" t="s">
        <v>26</v>
      </c>
      <c r="K219" s="54" t="s">
        <v>43</v>
      </c>
      <c r="L219" s="54" t="s">
        <v>148</v>
      </c>
      <c r="M219" s="54"/>
      <c r="N219" s="54"/>
    </row>
    <row r="220" spans="1:14" x14ac:dyDescent="0.25">
      <c r="A220" s="54" t="s">
        <v>172</v>
      </c>
      <c r="B220" s="54" t="s">
        <v>145</v>
      </c>
      <c r="C220" s="54" t="s">
        <v>23</v>
      </c>
      <c r="D220" s="54" t="str">
        <f>_xlfn.CONCAT(Tableau3[[#This Row],[N.Star]]," ",Tableau3[[#This Row],[Const.]])</f>
        <v>SU Cyg</v>
      </c>
      <c r="E220" s="57">
        <v>43178.9</v>
      </c>
      <c r="F220" s="57">
        <f>Tableau3[[#This Row],[ToM(+2400000)]]+2400000</f>
        <v>2443178.9</v>
      </c>
      <c r="G220" s="55">
        <v>0.15</v>
      </c>
      <c r="H220" s="56" t="s">
        <v>24</v>
      </c>
      <c r="I220" s="54" t="s">
        <v>66</v>
      </c>
      <c r="J220" s="54" t="s">
        <v>26</v>
      </c>
      <c r="K220" s="54" t="s">
        <v>43</v>
      </c>
      <c r="L220" s="54" t="s">
        <v>148</v>
      </c>
      <c r="M220" s="54"/>
      <c r="N220" s="54"/>
    </row>
    <row r="221" spans="1:14" x14ac:dyDescent="0.25">
      <c r="A221" s="54" t="s">
        <v>172</v>
      </c>
      <c r="B221" s="54" t="s">
        <v>145</v>
      </c>
      <c r="C221" s="54" t="s">
        <v>23</v>
      </c>
      <c r="D221" s="54" t="str">
        <f>_xlfn.CONCAT(Tableau3[[#This Row],[N.Star]]," ",Tableau3[[#This Row],[Const.]])</f>
        <v>SU Cyg</v>
      </c>
      <c r="E221" s="57">
        <v>43371.02</v>
      </c>
      <c r="F221" s="57">
        <f>Tableau3[[#This Row],[ToM(+2400000)]]+2400000</f>
        <v>2443371.02</v>
      </c>
      <c r="G221" s="55">
        <v>0.15</v>
      </c>
      <c r="H221" s="56" t="s">
        <v>24</v>
      </c>
      <c r="I221" s="54" t="s">
        <v>47</v>
      </c>
      <c r="J221" s="54" t="s">
        <v>26</v>
      </c>
      <c r="K221" s="54" t="s">
        <v>43</v>
      </c>
      <c r="L221" s="54" t="s">
        <v>148</v>
      </c>
      <c r="M221" s="54"/>
      <c r="N221" s="54"/>
    </row>
    <row r="222" spans="1:14" x14ac:dyDescent="0.25">
      <c r="A222" s="54" t="s">
        <v>172</v>
      </c>
      <c r="B222" s="54" t="s">
        <v>145</v>
      </c>
      <c r="C222" s="54" t="s">
        <v>23</v>
      </c>
      <c r="D222" s="54" t="str">
        <f>_xlfn.CONCAT(Tableau3[[#This Row],[N.Star]]," ",Tableau3[[#This Row],[Const.]])</f>
        <v>SU Cyg</v>
      </c>
      <c r="E222" s="57">
        <v>43390.29</v>
      </c>
      <c r="F222" s="57">
        <f>Tableau3[[#This Row],[ToM(+2400000)]]+2400000</f>
        <v>2443390.29</v>
      </c>
      <c r="G222" s="55">
        <v>0.15</v>
      </c>
      <c r="H222" s="56" t="s">
        <v>24</v>
      </c>
      <c r="I222" s="54" t="s">
        <v>100</v>
      </c>
      <c r="J222" s="54" t="s">
        <v>26</v>
      </c>
      <c r="K222" s="54" t="s">
        <v>43</v>
      </c>
      <c r="L222" s="54" t="s">
        <v>148</v>
      </c>
      <c r="M222" s="54"/>
      <c r="N222" s="54"/>
    </row>
    <row r="223" spans="1:14" x14ac:dyDescent="0.25">
      <c r="A223" s="54" t="s">
        <v>172</v>
      </c>
      <c r="B223" s="54" t="s">
        <v>145</v>
      </c>
      <c r="C223" s="54" t="s">
        <v>23</v>
      </c>
      <c r="D223" s="54" t="str">
        <f>_xlfn.CONCAT(Tableau3[[#This Row],[N.Star]]," ",Tableau3[[#This Row],[Const.]])</f>
        <v>SU Cyg</v>
      </c>
      <c r="E223" s="57">
        <v>43390.34</v>
      </c>
      <c r="F223" s="57">
        <f>Tableau3[[#This Row],[ToM(+2400000)]]+2400000</f>
        <v>2443390.34</v>
      </c>
      <c r="G223" s="55">
        <v>0.11</v>
      </c>
      <c r="H223" s="56" t="s">
        <v>24</v>
      </c>
      <c r="I223" s="54" t="s">
        <v>100</v>
      </c>
      <c r="J223" s="54" t="s">
        <v>26</v>
      </c>
      <c r="K223" s="54" t="s">
        <v>49</v>
      </c>
      <c r="L223" s="54" t="s">
        <v>157</v>
      </c>
      <c r="M223" s="54"/>
      <c r="N223" s="54"/>
    </row>
    <row r="224" spans="1:14" x14ac:dyDescent="0.25">
      <c r="A224" s="54" t="s">
        <v>172</v>
      </c>
      <c r="B224" s="54" t="s">
        <v>145</v>
      </c>
      <c r="C224" s="54" t="s">
        <v>23</v>
      </c>
      <c r="D224" s="54" t="str">
        <f>_xlfn.CONCAT(Tableau3[[#This Row],[N.Star]]," ",Tableau3[[#This Row],[Const.]])</f>
        <v>SU Cyg</v>
      </c>
      <c r="E224" s="57">
        <v>43401.83</v>
      </c>
      <c r="F224" s="57">
        <f>Tableau3[[#This Row],[ToM(+2400000)]]+2400000</f>
        <v>2443401.83</v>
      </c>
      <c r="G224" s="55">
        <v>0.15</v>
      </c>
      <c r="H224" s="56" t="s">
        <v>24</v>
      </c>
      <c r="I224" s="54" t="s">
        <v>46</v>
      </c>
      <c r="J224" s="54" t="s">
        <v>26</v>
      </c>
      <c r="K224" s="54" t="s">
        <v>43</v>
      </c>
      <c r="L224" s="54" t="s">
        <v>148</v>
      </c>
      <c r="M224" s="54"/>
      <c r="N224" s="54"/>
    </row>
    <row r="225" spans="1:14" x14ac:dyDescent="0.25">
      <c r="A225" s="54" t="s">
        <v>172</v>
      </c>
      <c r="B225" s="54" t="s">
        <v>145</v>
      </c>
      <c r="C225" s="54" t="s">
        <v>23</v>
      </c>
      <c r="D225" s="54" t="str">
        <f>_xlfn.CONCAT(Tableau3[[#This Row],[N.Star]]," ",Tableau3[[#This Row],[Const.]])</f>
        <v>SU Cyg</v>
      </c>
      <c r="E225" s="57">
        <v>43405.79</v>
      </c>
      <c r="F225" s="57">
        <f>Tableau3[[#This Row],[ToM(+2400000)]]+2400000</f>
        <v>2443405.79</v>
      </c>
      <c r="G225" s="55">
        <v>0.15</v>
      </c>
      <c r="H225" s="56" t="s">
        <v>24</v>
      </c>
      <c r="I225" s="54" t="s">
        <v>54</v>
      </c>
      <c r="J225" s="54" t="s">
        <v>26</v>
      </c>
      <c r="K225" s="54" t="s">
        <v>43</v>
      </c>
      <c r="L225" s="54" t="s">
        <v>148</v>
      </c>
      <c r="M225" s="54"/>
      <c r="N225" s="54"/>
    </row>
    <row r="226" spans="1:14" x14ac:dyDescent="0.25">
      <c r="A226" s="54" t="s">
        <v>172</v>
      </c>
      <c r="B226" s="54" t="s">
        <v>145</v>
      </c>
      <c r="C226" s="54" t="s">
        <v>23</v>
      </c>
      <c r="D226" s="54" t="str">
        <f>_xlfn.CONCAT(Tableau3[[#This Row],[N.Star]]," ",Tableau3[[#This Row],[Const.]])</f>
        <v>SU Cyg</v>
      </c>
      <c r="E226" s="57">
        <v>43409.56</v>
      </c>
      <c r="F226" s="57">
        <f>Tableau3[[#This Row],[ToM(+2400000)]]+2400000</f>
        <v>2443409.56</v>
      </c>
      <c r="G226" s="55">
        <v>0.15</v>
      </c>
      <c r="H226" s="56" t="s">
        <v>24</v>
      </c>
      <c r="I226" s="54" t="s">
        <v>45</v>
      </c>
      <c r="J226" s="54" t="s">
        <v>26</v>
      </c>
      <c r="K226" s="54" t="s">
        <v>43</v>
      </c>
      <c r="L226" s="54" t="s">
        <v>148</v>
      </c>
      <c r="M226" s="54"/>
      <c r="N226" s="54"/>
    </row>
    <row r="227" spans="1:14" x14ac:dyDescent="0.25">
      <c r="A227" s="54" t="s">
        <v>172</v>
      </c>
      <c r="B227" s="54" t="s">
        <v>145</v>
      </c>
      <c r="C227" s="54" t="s">
        <v>23</v>
      </c>
      <c r="D227" s="54" t="str">
        <f>_xlfn.CONCAT(Tableau3[[#This Row],[N.Star]]," ",Tableau3[[#This Row],[Const.]])</f>
        <v>SU Cyg</v>
      </c>
      <c r="E227" s="57">
        <v>43486.428</v>
      </c>
      <c r="F227" s="57">
        <f>Tableau3[[#This Row],[ToM(+2400000)]]+2400000</f>
        <v>2443486.4279999998</v>
      </c>
      <c r="G227" s="55">
        <v>0.15</v>
      </c>
      <c r="H227" s="56" t="s">
        <v>24</v>
      </c>
      <c r="I227" s="54" t="s">
        <v>55</v>
      </c>
      <c r="J227" s="54" t="s">
        <v>26</v>
      </c>
      <c r="K227" s="54" t="s">
        <v>186</v>
      </c>
      <c r="L227" s="54" t="s">
        <v>187</v>
      </c>
      <c r="M227" s="54"/>
      <c r="N227" s="54"/>
    </row>
    <row r="228" spans="1:14" x14ac:dyDescent="0.25">
      <c r="A228" s="54" t="s">
        <v>172</v>
      </c>
      <c r="B228" s="54" t="s">
        <v>145</v>
      </c>
      <c r="C228" s="54" t="s">
        <v>23</v>
      </c>
      <c r="D228" s="54" t="str">
        <f>_xlfn.CONCAT(Tableau3[[#This Row],[N.Star]]," ",Tableau3[[#This Row],[Const.]])</f>
        <v>SU Cyg</v>
      </c>
      <c r="E228" s="57">
        <v>43771.07</v>
      </c>
      <c r="F228" s="57">
        <f>Tableau3[[#This Row],[ToM(+2400000)]]+2400000</f>
        <v>2443771.0699999998</v>
      </c>
      <c r="G228" s="55">
        <v>0.11</v>
      </c>
      <c r="H228" s="56" t="s">
        <v>24</v>
      </c>
      <c r="I228" s="54" t="s">
        <v>100</v>
      </c>
      <c r="J228" s="54" t="s">
        <v>26</v>
      </c>
      <c r="K228" s="54" t="s">
        <v>188</v>
      </c>
      <c r="L228" s="54" t="s">
        <v>189</v>
      </c>
      <c r="M228" s="54"/>
      <c r="N228" s="54"/>
    </row>
    <row r="229" spans="1:14" x14ac:dyDescent="0.25">
      <c r="A229" s="54" t="s">
        <v>172</v>
      </c>
      <c r="B229" s="54" t="s">
        <v>145</v>
      </c>
      <c r="C229" s="54" t="s">
        <v>23</v>
      </c>
      <c r="D229" s="54" t="str">
        <f>_xlfn.CONCAT(Tableau3[[#This Row],[N.Star]]," ",Tableau3[[#This Row],[Const.]])</f>
        <v>SU Cyg</v>
      </c>
      <c r="E229" s="57">
        <v>44121.006000000001</v>
      </c>
      <c r="F229" s="57">
        <f>Tableau3[[#This Row],[ToM(+2400000)]]+2400000</f>
        <v>2444121.0060000001</v>
      </c>
      <c r="G229" s="55">
        <v>1.0999999999999999E-2</v>
      </c>
      <c r="H229" s="56" t="s">
        <v>24</v>
      </c>
      <c r="I229" s="54" t="s">
        <v>25</v>
      </c>
      <c r="J229" s="54" t="s">
        <v>26</v>
      </c>
      <c r="K229" s="54" t="s">
        <v>27</v>
      </c>
      <c r="L229" s="54" t="s">
        <v>27</v>
      </c>
      <c r="M229" s="54"/>
      <c r="N229" s="54" t="s">
        <v>39</v>
      </c>
    </row>
    <row r="230" spans="1:14" x14ac:dyDescent="0.25">
      <c r="A230" s="54" t="s">
        <v>172</v>
      </c>
      <c r="B230" s="54" t="s">
        <v>145</v>
      </c>
      <c r="C230" s="54" t="s">
        <v>23</v>
      </c>
      <c r="D230" s="54" t="str">
        <f>_xlfn.CONCAT(Tableau3[[#This Row],[N.Star]]," ",Tableau3[[#This Row],[Const.]])</f>
        <v>SU Cyg</v>
      </c>
      <c r="E230" s="57">
        <v>47082.1</v>
      </c>
      <c r="F230" s="57">
        <f>Tableau3[[#This Row],[ToM(+2400000)]]+2400000</f>
        <v>2447082.1</v>
      </c>
      <c r="G230" s="55">
        <v>0.15</v>
      </c>
      <c r="H230" s="56" t="s">
        <v>24</v>
      </c>
      <c r="I230" s="54" t="s">
        <v>56</v>
      </c>
      <c r="J230" s="54" t="s">
        <v>26</v>
      </c>
      <c r="K230" s="54" t="s">
        <v>57</v>
      </c>
      <c r="L230" s="54" t="s">
        <v>59</v>
      </c>
      <c r="M230" s="54"/>
      <c r="N230" s="54"/>
    </row>
    <row r="231" spans="1:14" x14ac:dyDescent="0.25">
      <c r="A231" s="54" t="s">
        <v>172</v>
      </c>
      <c r="B231" s="54" t="s">
        <v>145</v>
      </c>
      <c r="C231" s="54" t="s">
        <v>23</v>
      </c>
      <c r="D231" s="54" t="str">
        <f>_xlfn.CONCAT(Tableau3[[#This Row],[N.Star]]," ",Tableau3[[#This Row],[Const.]])</f>
        <v>SU Cyg</v>
      </c>
      <c r="E231" s="57">
        <v>47389.86</v>
      </c>
      <c r="F231" s="57">
        <f>Tableau3[[#This Row],[ToM(+2400000)]]+2400000</f>
        <v>2447389.86</v>
      </c>
      <c r="G231" s="55">
        <v>0.11</v>
      </c>
      <c r="H231" s="56" t="s">
        <v>24</v>
      </c>
      <c r="I231" s="54" t="s">
        <v>48</v>
      </c>
      <c r="J231" s="54" t="s">
        <v>26</v>
      </c>
      <c r="K231" s="54" t="s">
        <v>57</v>
      </c>
      <c r="L231" s="54" t="s">
        <v>190</v>
      </c>
      <c r="M231" s="54"/>
      <c r="N231" s="54"/>
    </row>
    <row r="232" spans="1:14" x14ac:dyDescent="0.25">
      <c r="A232" s="54" t="s">
        <v>172</v>
      </c>
      <c r="B232" s="54" t="s">
        <v>145</v>
      </c>
      <c r="C232" s="54" t="s">
        <v>23</v>
      </c>
      <c r="D232" s="54" t="str">
        <f>_xlfn.CONCAT(Tableau3[[#This Row],[N.Star]]," ",Tableau3[[#This Row],[Const.]])</f>
        <v>SU Cyg</v>
      </c>
      <c r="E232" s="57">
        <v>47432.2</v>
      </c>
      <c r="F232" s="57">
        <f>Tableau3[[#This Row],[ToM(+2400000)]]+2400000</f>
        <v>2447432.2000000002</v>
      </c>
      <c r="G232" s="55">
        <v>0.11</v>
      </c>
      <c r="H232" s="56" t="s">
        <v>24</v>
      </c>
      <c r="I232" s="54" t="s">
        <v>116</v>
      </c>
      <c r="J232" s="54" t="s">
        <v>26</v>
      </c>
      <c r="K232" s="54" t="s">
        <v>57</v>
      </c>
      <c r="L232" s="54" t="s">
        <v>191</v>
      </c>
      <c r="M232" s="54"/>
      <c r="N232" s="54"/>
    </row>
    <row r="233" spans="1:14" x14ac:dyDescent="0.25">
      <c r="A233" s="54" t="s">
        <v>172</v>
      </c>
      <c r="B233" s="54" t="s">
        <v>145</v>
      </c>
      <c r="C233" s="54" t="s">
        <v>23</v>
      </c>
      <c r="D233" s="54" t="str">
        <f>_xlfn.CONCAT(Tableau3[[#This Row],[N.Star]]," ",Tableau3[[#This Row],[Const.]])</f>
        <v>SU Cyg</v>
      </c>
      <c r="E233" s="57">
        <v>47747.42</v>
      </c>
      <c r="F233" s="57">
        <f>Tableau3[[#This Row],[ToM(+2400000)]]+2400000</f>
        <v>2447747.42</v>
      </c>
      <c r="G233" s="55">
        <v>0.27</v>
      </c>
      <c r="H233" s="56" t="s">
        <v>24</v>
      </c>
      <c r="I233" s="54" t="s">
        <v>56</v>
      </c>
      <c r="J233" s="54" t="s">
        <v>26</v>
      </c>
      <c r="K233" s="54" t="s">
        <v>49</v>
      </c>
      <c r="L233" s="54" t="s">
        <v>64</v>
      </c>
      <c r="M233" s="54"/>
      <c r="N233" s="54"/>
    </row>
    <row r="234" spans="1:14" x14ac:dyDescent="0.25">
      <c r="A234" s="54" t="s">
        <v>172</v>
      </c>
      <c r="B234" s="54" t="s">
        <v>145</v>
      </c>
      <c r="C234" s="54" t="s">
        <v>23</v>
      </c>
      <c r="D234" s="54" t="str">
        <f>_xlfn.CONCAT(Tableau3[[#This Row],[N.Star]]," ",Tableau3[[#This Row],[Const.]])</f>
        <v>SU Cyg</v>
      </c>
      <c r="E234" s="57">
        <v>48078.06</v>
      </c>
      <c r="F234" s="57">
        <f>Tableau3[[#This Row],[ToM(+2400000)]]+2400000</f>
        <v>2448078.06</v>
      </c>
      <c r="G234" s="55">
        <v>0.11</v>
      </c>
      <c r="H234" s="56" t="s">
        <v>24</v>
      </c>
      <c r="I234" s="54" t="s">
        <v>56</v>
      </c>
      <c r="J234" s="54" t="s">
        <v>26</v>
      </c>
      <c r="K234" s="54" t="s">
        <v>49</v>
      </c>
      <c r="L234" s="54" t="s">
        <v>50</v>
      </c>
      <c r="M234" s="54"/>
      <c r="N234" s="54"/>
    </row>
    <row r="235" spans="1:14" x14ac:dyDescent="0.25">
      <c r="A235" s="54" t="s">
        <v>172</v>
      </c>
      <c r="B235" s="54" t="s">
        <v>145</v>
      </c>
      <c r="C235" s="54" t="s">
        <v>23</v>
      </c>
      <c r="D235" s="54" t="str">
        <f>_xlfn.CONCAT(Tableau3[[#This Row],[N.Star]]," ",Tableau3[[#This Row],[Const.]])</f>
        <v>SU Cyg</v>
      </c>
      <c r="E235" s="57">
        <v>48158.68</v>
      </c>
      <c r="F235" s="57">
        <f>Tableau3[[#This Row],[ToM(+2400000)]]+2400000</f>
        <v>2448158.6800000002</v>
      </c>
      <c r="G235" s="55">
        <v>0.04</v>
      </c>
      <c r="H235" s="56" t="s">
        <v>24</v>
      </c>
      <c r="I235" s="54" t="s">
        <v>42</v>
      </c>
      <c r="J235" s="54" t="s">
        <v>26</v>
      </c>
      <c r="K235" s="54" t="s">
        <v>62</v>
      </c>
      <c r="L235" s="54" t="s">
        <v>63</v>
      </c>
      <c r="M235" s="54"/>
      <c r="N235" s="54" t="s">
        <v>34</v>
      </c>
    </row>
    <row r="236" spans="1:14" x14ac:dyDescent="0.25">
      <c r="A236" s="54" t="s">
        <v>172</v>
      </c>
      <c r="B236" s="54" t="s">
        <v>145</v>
      </c>
      <c r="C236" s="54" t="s">
        <v>23</v>
      </c>
      <c r="D236" s="54" t="str">
        <f>_xlfn.CONCAT(Tableau3[[#This Row],[N.Star]]," ",Tableau3[[#This Row],[Const.]])</f>
        <v>SU Cyg</v>
      </c>
      <c r="E236" s="57">
        <v>49128.05</v>
      </c>
      <c r="F236" s="57">
        <f>Tableau3[[#This Row],[ToM(+2400000)]]+2400000</f>
        <v>2449128.0499999998</v>
      </c>
      <c r="G236" s="55">
        <v>0.04</v>
      </c>
      <c r="H236" s="56" t="s">
        <v>24</v>
      </c>
      <c r="I236" s="54" t="s">
        <v>192</v>
      </c>
      <c r="J236" s="54" t="s">
        <v>26</v>
      </c>
      <c r="K236" s="54" t="s">
        <v>57</v>
      </c>
      <c r="L236" s="54" t="s">
        <v>150</v>
      </c>
      <c r="M236" s="54"/>
      <c r="N236" s="54"/>
    </row>
    <row r="237" spans="1:14" x14ac:dyDescent="0.25">
      <c r="A237" s="54" t="s">
        <v>172</v>
      </c>
      <c r="B237" s="54" t="s">
        <v>145</v>
      </c>
      <c r="C237" s="54" t="s">
        <v>23</v>
      </c>
      <c r="D237" s="54" t="str">
        <f>_xlfn.CONCAT(Tableau3[[#This Row],[N.Star]]," ",Tableau3[[#This Row],[Const.]])</f>
        <v>SU Cyg</v>
      </c>
      <c r="E237" s="57">
        <v>59076.14</v>
      </c>
      <c r="F237" s="57">
        <f>Tableau3[[#This Row],[ToM(+2400000)]]+2400000</f>
        <v>2459076.14</v>
      </c>
      <c r="G237" s="55">
        <v>0.12</v>
      </c>
      <c r="H237" s="56" t="s">
        <v>24</v>
      </c>
      <c r="I237" s="54" t="s">
        <v>25</v>
      </c>
      <c r="J237" s="54" t="s">
        <v>26</v>
      </c>
      <c r="K237" s="54" t="s">
        <v>27</v>
      </c>
      <c r="L237" s="54" t="s">
        <v>27</v>
      </c>
      <c r="M237" s="54"/>
      <c r="N237" s="54" t="s">
        <v>39</v>
      </c>
    </row>
    <row r="238" spans="1:14" x14ac:dyDescent="0.25">
      <c r="A238" t="s">
        <v>172</v>
      </c>
      <c r="B238" t="s">
        <v>67</v>
      </c>
      <c r="C238" t="s">
        <v>23</v>
      </c>
      <c r="D238" t="str">
        <f>_xlfn.CONCAT(Tableau3[[#This Row],[N.Star]]," ",Tableau3[[#This Row],[Const.]])</f>
        <v>SZ Cyg</v>
      </c>
      <c r="E238" s="8">
        <v>59756.34</v>
      </c>
      <c r="F238" s="8">
        <f>Tableau3[[#This Row],[ToM(+2400000)]]+2400000</f>
        <v>2459756.34</v>
      </c>
      <c r="G238" s="34">
        <v>0.03</v>
      </c>
      <c r="H238" s="3" t="s">
        <v>24</v>
      </c>
      <c r="I238" t="s">
        <v>25</v>
      </c>
      <c r="J238" t="s">
        <v>26</v>
      </c>
      <c r="K238" t="s">
        <v>62</v>
      </c>
      <c r="L238" t="s">
        <v>193</v>
      </c>
    </row>
    <row r="239" spans="1:14" x14ac:dyDescent="0.25">
      <c r="A239" t="s">
        <v>172</v>
      </c>
      <c r="B239" t="s">
        <v>194</v>
      </c>
      <c r="C239" t="s">
        <v>23</v>
      </c>
      <c r="D239" t="str">
        <f>_xlfn.CONCAT(Tableau3[[#This Row],[N.Star]]," ",Tableau3[[#This Row],[Const.]])</f>
        <v>TX Cyg</v>
      </c>
      <c r="E239" s="8">
        <v>58374.06</v>
      </c>
      <c r="F239" s="8">
        <f>Tableau3[[#This Row],[ToM(+2400000)]]+2400000</f>
        <v>2458374.06</v>
      </c>
      <c r="G239" s="34">
        <v>0.1</v>
      </c>
      <c r="H239" s="3" t="s">
        <v>24</v>
      </c>
      <c r="I239" t="s">
        <v>122</v>
      </c>
      <c r="J239" t="s">
        <v>26</v>
      </c>
      <c r="K239" t="s">
        <v>27</v>
      </c>
      <c r="L239" t="s">
        <v>27</v>
      </c>
    </row>
    <row r="240" spans="1:14" x14ac:dyDescent="0.25">
      <c r="A240" t="s">
        <v>172</v>
      </c>
      <c r="B240" t="s">
        <v>194</v>
      </c>
      <c r="C240" t="s">
        <v>23</v>
      </c>
      <c r="D240" t="str">
        <f>_xlfn.CONCAT(Tableau3[[#This Row],[N.Star]]," ",Tableau3[[#This Row],[Const.]])</f>
        <v>TX Cyg</v>
      </c>
      <c r="E240" s="8">
        <v>58785.802000000003</v>
      </c>
      <c r="F240" s="8">
        <f>Tableau3[[#This Row],[ToM(+2400000)]]+2400000</f>
        <v>2458785.8020000001</v>
      </c>
      <c r="G240" s="34">
        <v>0.1</v>
      </c>
      <c r="H240" s="3" t="s">
        <v>24</v>
      </c>
      <c r="I240" t="s">
        <v>122</v>
      </c>
      <c r="J240" t="s">
        <v>26</v>
      </c>
      <c r="K240" t="s">
        <v>27</v>
      </c>
      <c r="L240" t="s">
        <v>27</v>
      </c>
    </row>
    <row r="241" spans="1:14" x14ac:dyDescent="0.25">
      <c r="A241" t="s">
        <v>172</v>
      </c>
      <c r="B241" t="s">
        <v>194</v>
      </c>
      <c r="C241" t="s">
        <v>23</v>
      </c>
      <c r="D241" t="str">
        <f>_xlfn.CONCAT(Tableau3[[#This Row],[N.Star]]," ",Tableau3[[#This Row],[Const.]])</f>
        <v>TX Cyg</v>
      </c>
      <c r="E241" s="8">
        <v>59050.5</v>
      </c>
      <c r="F241" s="8">
        <f>Tableau3[[#This Row],[ToM(+2400000)]]+2400000</f>
        <v>2459050.5</v>
      </c>
      <c r="G241" s="34">
        <v>0.1</v>
      </c>
      <c r="H241" s="3" t="s">
        <v>24</v>
      </c>
      <c r="I241" t="s">
        <v>122</v>
      </c>
      <c r="J241" t="s">
        <v>26</v>
      </c>
      <c r="K241" t="s">
        <v>27</v>
      </c>
      <c r="L241" t="s">
        <v>27</v>
      </c>
    </row>
    <row r="242" spans="1:14" x14ac:dyDescent="0.25">
      <c r="A242" t="s">
        <v>172</v>
      </c>
      <c r="B242" t="s">
        <v>194</v>
      </c>
      <c r="C242" t="s">
        <v>23</v>
      </c>
      <c r="D242" t="str">
        <f>_xlfn.CONCAT(Tableau3[[#This Row],[N.Star]]," ",Tableau3[[#This Row],[Const.]])</f>
        <v>TX Cyg</v>
      </c>
      <c r="E242" s="8">
        <v>59712.52</v>
      </c>
      <c r="F242" s="8">
        <f>Tableau3[[#This Row],[ToM(+2400000)]]+2400000</f>
        <v>2459712.52</v>
      </c>
      <c r="G242" s="34">
        <v>0.74</v>
      </c>
      <c r="H242" s="3" t="s">
        <v>24</v>
      </c>
      <c r="I242" t="s">
        <v>25</v>
      </c>
      <c r="J242" t="s">
        <v>26</v>
      </c>
      <c r="K242" t="s">
        <v>62</v>
      </c>
      <c r="L242" t="s">
        <v>193</v>
      </c>
    </row>
    <row r="243" spans="1:14" x14ac:dyDescent="0.25">
      <c r="A243" t="s">
        <v>172</v>
      </c>
      <c r="B243" t="s">
        <v>195</v>
      </c>
      <c r="C243" t="s">
        <v>23</v>
      </c>
      <c r="D243" t="str">
        <f>_xlfn.CONCAT(Tableau3[[#This Row],[N.Star]]," ",Tableau3[[#This Row],[Const.]])</f>
        <v>V1334 Cyg</v>
      </c>
      <c r="E243" s="8">
        <v>43007.96</v>
      </c>
      <c r="F243" s="8">
        <f>Tableau3[[#This Row],[ToM(+2400000)]]+2400000</f>
        <v>2443007.96</v>
      </c>
      <c r="G243" s="34">
        <v>0.15</v>
      </c>
      <c r="H243" s="3" t="s">
        <v>24</v>
      </c>
      <c r="I243" t="s">
        <v>47</v>
      </c>
      <c r="J243" t="s">
        <v>26</v>
      </c>
      <c r="K243" t="s">
        <v>40</v>
      </c>
      <c r="L243" t="s">
        <v>41</v>
      </c>
    </row>
    <row r="244" spans="1:14" x14ac:dyDescent="0.25">
      <c r="A244" t="s">
        <v>172</v>
      </c>
      <c r="B244" t="s">
        <v>195</v>
      </c>
      <c r="C244" t="s">
        <v>23</v>
      </c>
      <c r="D244" t="str">
        <f>_xlfn.CONCAT(Tableau3[[#This Row],[N.Star]]," ",Tableau3[[#This Row],[Const.]])</f>
        <v>V1334 Cyg</v>
      </c>
      <c r="E244" s="8">
        <v>43108</v>
      </c>
      <c r="F244" s="8">
        <f>Tableau3[[#This Row],[ToM(+2400000)]]+2400000</f>
        <v>2443108</v>
      </c>
      <c r="G244" s="34">
        <v>0.13</v>
      </c>
      <c r="H244" s="3" t="s">
        <v>24</v>
      </c>
      <c r="I244" t="s">
        <v>38</v>
      </c>
      <c r="J244" t="s">
        <v>26</v>
      </c>
      <c r="K244" t="s">
        <v>27</v>
      </c>
      <c r="L244" t="s">
        <v>196</v>
      </c>
      <c r="N244" t="s">
        <v>39</v>
      </c>
    </row>
    <row r="245" spans="1:14" x14ac:dyDescent="0.25">
      <c r="A245" t="s">
        <v>172</v>
      </c>
      <c r="B245" t="s">
        <v>195</v>
      </c>
      <c r="C245" t="s">
        <v>23</v>
      </c>
      <c r="D245" t="str">
        <f>_xlfn.CONCAT(Tableau3[[#This Row],[N.Star]]," ",Tableau3[[#This Row],[Const.]])</f>
        <v>V1334 Cyg</v>
      </c>
      <c r="E245" s="8">
        <v>43241.599999999999</v>
      </c>
      <c r="F245" s="8">
        <f>Tableau3[[#This Row],[ToM(+2400000)]]+2400000</f>
        <v>2443241.6</v>
      </c>
      <c r="G245" s="34">
        <v>0.1</v>
      </c>
      <c r="H245" s="3" t="s">
        <v>24</v>
      </c>
      <c r="I245" t="s">
        <v>66</v>
      </c>
      <c r="J245" t="s">
        <v>26</v>
      </c>
      <c r="K245" t="s">
        <v>78</v>
      </c>
      <c r="L245" t="s">
        <v>174</v>
      </c>
    </row>
    <row r="246" spans="1:14" x14ac:dyDescent="0.25">
      <c r="A246" t="s">
        <v>172</v>
      </c>
      <c r="B246" t="s">
        <v>195</v>
      </c>
      <c r="C246" t="s">
        <v>23</v>
      </c>
      <c r="D246" t="str">
        <f>_xlfn.CONCAT(Tableau3[[#This Row],[N.Star]]," ",Tableau3[[#This Row],[Const.]])</f>
        <v>V1334 Cyg</v>
      </c>
      <c r="E246" s="8">
        <v>43334.29</v>
      </c>
      <c r="F246" s="8">
        <f>Tableau3[[#This Row],[ToM(+2400000)]]+2400000</f>
        <v>2443334.29</v>
      </c>
      <c r="G246" s="34">
        <v>0.1</v>
      </c>
      <c r="H246" s="3" t="s">
        <v>24</v>
      </c>
      <c r="I246" t="s">
        <v>55</v>
      </c>
      <c r="J246" t="s">
        <v>26</v>
      </c>
      <c r="K246" t="s">
        <v>78</v>
      </c>
      <c r="L246" t="s">
        <v>174</v>
      </c>
    </row>
    <row r="247" spans="1:14" x14ac:dyDescent="0.25">
      <c r="A247" t="s">
        <v>172</v>
      </c>
      <c r="B247" t="s">
        <v>195</v>
      </c>
      <c r="C247" t="s">
        <v>23</v>
      </c>
      <c r="D247" t="str">
        <f>_xlfn.CONCAT(Tableau3[[#This Row],[N.Star]]," ",Tableau3[[#This Row],[Const.]])</f>
        <v>V1334 Cyg</v>
      </c>
      <c r="E247" s="8">
        <v>43381.26</v>
      </c>
      <c r="F247" s="8">
        <f>Tableau3[[#This Row],[ToM(+2400000)]]+2400000</f>
        <v>2443381.2599999998</v>
      </c>
      <c r="G247" s="34">
        <v>0.1</v>
      </c>
      <c r="H247" s="3" t="s">
        <v>24</v>
      </c>
      <c r="I247" t="s">
        <v>47</v>
      </c>
      <c r="J247" t="s">
        <v>26</v>
      </c>
      <c r="K247" t="s">
        <v>78</v>
      </c>
      <c r="L247" t="s">
        <v>174</v>
      </c>
    </row>
    <row r="248" spans="1:14" x14ac:dyDescent="0.25">
      <c r="A248" t="s">
        <v>172</v>
      </c>
      <c r="B248" t="s">
        <v>195</v>
      </c>
      <c r="C248" t="s">
        <v>23</v>
      </c>
      <c r="D248" t="str">
        <f>_xlfn.CONCAT(Tableau3[[#This Row],[N.Star]]," ",Tableau3[[#This Row],[Const.]])</f>
        <v>V1334 Cyg</v>
      </c>
      <c r="E248" s="8">
        <v>43424.7</v>
      </c>
      <c r="F248" s="8">
        <f>Tableau3[[#This Row],[ToM(+2400000)]]+2400000</f>
        <v>2443424.7000000002</v>
      </c>
      <c r="G248" s="34">
        <v>0.1</v>
      </c>
      <c r="H248" s="3" t="s">
        <v>24</v>
      </c>
      <c r="I248" t="s">
        <v>100</v>
      </c>
      <c r="J248" t="s">
        <v>26</v>
      </c>
      <c r="K248" t="s">
        <v>78</v>
      </c>
      <c r="L248" t="s">
        <v>174</v>
      </c>
    </row>
    <row r="249" spans="1:14" x14ac:dyDescent="0.25">
      <c r="A249" t="s">
        <v>172</v>
      </c>
      <c r="B249" t="s">
        <v>195</v>
      </c>
      <c r="C249" t="s">
        <v>23</v>
      </c>
      <c r="D249" t="str">
        <f>_xlfn.CONCAT(Tableau3[[#This Row],[N.Star]]," ",Tableau3[[#This Row],[Const.]])</f>
        <v>V1334 Cyg</v>
      </c>
      <c r="E249" s="8">
        <v>44080.62</v>
      </c>
      <c r="F249" s="8">
        <f>Tableau3[[#This Row],[ToM(+2400000)]]+2400000</f>
        <v>2444080.62</v>
      </c>
      <c r="G249" s="34">
        <v>0.1</v>
      </c>
      <c r="H249" s="3" t="s">
        <v>24</v>
      </c>
      <c r="I249" t="s">
        <v>197</v>
      </c>
      <c r="J249" t="s">
        <v>26</v>
      </c>
      <c r="K249" t="s">
        <v>78</v>
      </c>
      <c r="L249" t="s">
        <v>174</v>
      </c>
    </row>
    <row r="250" spans="1:14" x14ac:dyDescent="0.25">
      <c r="A250" t="s">
        <v>172</v>
      </c>
      <c r="B250" t="s">
        <v>195</v>
      </c>
      <c r="C250" t="s">
        <v>23</v>
      </c>
      <c r="D250" t="str">
        <f>_xlfn.CONCAT(Tableau3[[#This Row],[N.Star]]," ",Tableau3[[#This Row],[Const.]])</f>
        <v>V1334 Cyg</v>
      </c>
      <c r="E250" s="8">
        <v>44147.05</v>
      </c>
      <c r="F250" s="8">
        <f>Tableau3[[#This Row],[ToM(+2400000)]]+2400000</f>
        <v>2444147.0499999998</v>
      </c>
      <c r="G250" s="34">
        <v>0.33</v>
      </c>
      <c r="H250" s="3" t="s">
        <v>24</v>
      </c>
      <c r="I250" t="s">
        <v>100</v>
      </c>
      <c r="J250" t="s">
        <v>26</v>
      </c>
      <c r="K250" t="s">
        <v>188</v>
      </c>
      <c r="L250" t="s">
        <v>189</v>
      </c>
    </row>
    <row r="251" spans="1:14" x14ac:dyDescent="0.25">
      <c r="A251" t="s">
        <v>172</v>
      </c>
      <c r="B251" t="s">
        <v>198</v>
      </c>
      <c r="C251" t="s">
        <v>23</v>
      </c>
      <c r="D251" t="str">
        <f>_xlfn.CONCAT(Tableau3[[#This Row],[N.Star]]," ",Tableau3[[#This Row],[Const.]])</f>
        <v>V514 Cyg</v>
      </c>
      <c r="E251" s="8">
        <v>43400.32</v>
      </c>
      <c r="F251" s="8">
        <f>Tableau3[[#This Row],[ToM(+2400000)]]+2400000</f>
        <v>2443400.3199999998</v>
      </c>
      <c r="G251" s="34">
        <v>0.1</v>
      </c>
      <c r="H251" s="3" t="s">
        <v>24</v>
      </c>
      <c r="I251" t="s">
        <v>80</v>
      </c>
      <c r="J251" t="s">
        <v>26</v>
      </c>
      <c r="K251" t="s">
        <v>62</v>
      </c>
      <c r="L251" t="s">
        <v>199</v>
      </c>
      <c r="N251" t="s">
        <v>200</v>
      </c>
    </row>
    <row r="252" spans="1:14" x14ac:dyDescent="0.25">
      <c r="A252" t="s">
        <v>172</v>
      </c>
      <c r="B252" t="s">
        <v>198</v>
      </c>
      <c r="C252" t="s">
        <v>23</v>
      </c>
      <c r="D252" t="str">
        <f>_xlfn.CONCAT(Tableau3[[#This Row],[N.Star]]," ",Tableau3[[#This Row],[Const.]])</f>
        <v>V514 Cyg</v>
      </c>
      <c r="E252" s="8">
        <v>43792.98</v>
      </c>
      <c r="F252" s="8">
        <f>Tableau3[[#This Row],[ToM(+2400000)]]+2400000</f>
        <v>2443792.98</v>
      </c>
      <c r="G252" s="34">
        <v>0.1</v>
      </c>
      <c r="H252" s="3" t="s">
        <v>24</v>
      </c>
      <c r="I252" t="s">
        <v>80</v>
      </c>
      <c r="J252" t="s">
        <v>26</v>
      </c>
      <c r="K252" t="s">
        <v>62</v>
      </c>
      <c r="L252" t="s">
        <v>199</v>
      </c>
      <c r="N252" t="s">
        <v>200</v>
      </c>
    </row>
    <row r="253" spans="1:14" x14ac:dyDescent="0.25">
      <c r="A253" t="s">
        <v>172</v>
      </c>
      <c r="B253" t="s">
        <v>198</v>
      </c>
      <c r="C253" t="s">
        <v>23</v>
      </c>
      <c r="D253" t="str">
        <f>_xlfn.CONCAT(Tableau3[[#This Row],[N.Star]]," ",Tableau3[[#This Row],[Const.]])</f>
        <v>V514 Cyg</v>
      </c>
      <c r="E253" s="8">
        <v>44532.36</v>
      </c>
      <c r="F253" s="8">
        <f>Tableau3[[#This Row],[ToM(+2400000)]]+2400000</f>
        <v>2444532.36</v>
      </c>
      <c r="G253" s="34">
        <v>0.1</v>
      </c>
      <c r="H253" s="3" t="s">
        <v>24</v>
      </c>
      <c r="I253" t="s">
        <v>80</v>
      </c>
      <c r="J253" t="s">
        <v>26</v>
      </c>
      <c r="K253" t="s">
        <v>62</v>
      </c>
      <c r="L253" t="s">
        <v>199</v>
      </c>
      <c r="N253" t="s">
        <v>200</v>
      </c>
    </row>
    <row r="254" spans="1:14" x14ac:dyDescent="0.25">
      <c r="A254" t="s">
        <v>172</v>
      </c>
      <c r="B254" t="s">
        <v>198</v>
      </c>
      <c r="C254" t="s">
        <v>23</v>
      </c>
      <c r="D254" t="str">
        <f>_xlfn.CONCAT(Tableau3[[#This Row],[N.Star]]," ",Tableau3[[#This Row],[Const.]])</f>
        <v>V514 Cyg</v>
      </c>
      <c r="E254" s="8">
        <v>44817.94</v>
      </c>
      <c r="F254" s="8">
        <f>Tableau3[[#This Row],[ToM(+2400000)]]+2400000</f>
        <v>2444817.94</v>
      </c>
      <c r="G254" s="34">
        <v>0.1</v>
      </c>
      <c r="H254" s="3" t="s">
        <v>24</v>
      </c>
      <c r="I254" t="s">
        <v>80</v>
      </c>
      <c r="J254" t="s">
        <v>26</v>
      </c>
      <c r="K254" t="s">
        <v>62</v>
      </c>
      <c r="L254" t="s">
        <v>199</v>
      </c>
      <c r="N254" t="s">
        <v>200</v>
      </c>
    </row>
    <row r="255" spans="1:14" x14ac:dyDescent="0.25">
      <c r="A255" t="s">
        <v>172</v>
      </c>
      <c r="B255" t="s">
        <v>198</v>
      </c>
      <c r="C255" t="s">
        <v>23</v>
      </c>
      <c r="D255" t="str">
        <f>_xlfn.CONCAT(Tableau3[[#This Row],[N.Star]]," ",Tableau3[[#This Row],[Const.]])</f>
        <v>V514 Cyg</v>
      </c>
      <c r="E255" s="8">
        <v>45220.800000000003</v>
      </c>
      <c r="F255" s="8">
        <f>Tableau3[[#This Row],[ToM(+2400000)]]+2400000</f>
        <v>2445220.7999999998</v>
      </c>
      <c r="G255" s="34">
        <v>0.1</v>
      </c>
      <c r="H255" s="3" t="s">
        <v>24</v>
      </c>
      <c r="I255" t="s">
        <v>80</v>
      </c>
      <c r="J255" t="s">
        <v>26</v>
      </c>
      <c r="K255" t="s">
        <v>62</v>
      </c>
      <c r="L255" t="s">
        <v>199</v>
      </c>
      <c r="N255" t="s">
        <v>200</v>
      </c>
    </row>
    <row r="256" spans="1:14" x14ac:dyDescent="0.25">
      <c r="A256" t="s">
        <v>172</v>
      </c>
      <c r="B256" t="s">
        <v>198</v>
      </c>
      <c r="C256" t="s">
        <v>23</v>
      </c>
      <c r="D256" t="str">
        <f>_xlfn.CONCAT(Tableau3[[#This Row],[N.Star]]," ",Tableau3[[#This Row],[Const.]])</f>
        <v>V514 Cyg</v>
      </c>
      <c r="E256" s="8">
        <v>56535.394999999997</v>
      </c>
      <c r="F256" s="8">
        <f>Tableau3[[#This Row],[ToM(+2400000)]]+2400000</f>
        <v>2456535.395</v>
      </c>
      <c r="G256" s="34">
        <v>0.1</v>
      </c>
      <c r="H256" s="3" t="s">
        <v>24</v>
      </c>
      <c r="I256" t="s">
        <v>122</v>
      </c>
      <c r="J256" t="s">
        <v>26</v>
      </c>
      <c r="K256" t="s">
        <v>27</v>
      </c>
      <c r="L256" t="s">
        <v>27</v>
      </c>
    </row>
    <row r="257" spans="1:14" x14ac:dyDescent="0.25">
      <c r="A257" t="s">
        <v>172</v>
      </c>
      <c r="B257" t="s">
        <v>198</v>
      </c>
      <c r="C257" t="s">
        <v>23</v>
      </c>
      <c r="D257" t="str">
        <f>_xlfn.CONCAT(Tableau3[[#This Row],[N.Star]]," ",Tableau3[[#This Row],[Const.]])</f>
        <v>V514 Cyg</v>
      </c>
      <c r="E257" s="8">
        <v>56576.26</v>
      </c>
      <c r="F257" s="8">
        <f>Tableau3[[#This Row],[ToM(+2400000)]]+2400000</f>
        <v>2456576.2599999998</v>
      </c>
      <c r="G257" s="34">
        <v>0.1</v>
      </c>
      <c r="H257" s="3" t="s">
        <v>24</v>
      </c>
      <c r="I257" t="s">
        <v>122</v>
      </c>
      <c r="J257" t="s">
        <v>26</v>
      </c>
      <c r="K257" t="s">
        <v>62</v>
      </c>
      <c r="L257" t="s">
        <v>199</v>
      </c>
    </row>
    <row r="258" spans="1:14" x14ac:dyDescent="0.25">
      <c r="A258" t="s">
        <v>172</v>
      </c>
      <c r="B258" t="s">
        <v>198</v>
      </c>
      <c r="C258" t="s">
        <v>23</v>
      </c>
      <c r="D258" t="str">
        <f>_xlfn.CONCAT(Tableau3[[#This Row],[N.Star]]," ",Tableau3[[#This Row],[Const.]])</f>
        <v>V514 Cyg</v>
      </c>
      <c r="E258" s="8">
        <v>56622.076999999997</v>
      </c>
      <c r="F258" s="8">
        <f>Tableau3[[#This Row],[ToM(+2400000)]]+2400000</f>
        <v>2456622.077</v>
      </c>
      <c r="G258" s="34">
        <v>0.1</v>
      </c>
      <c r="H258" s="3" t="s">
        <v>24</v>
      </c>
      <c r="I258" t="s">
        <v>122</v>
      </c>
      <c r="J258" t="s">
        <v>26</v>
      </c>
      <c r="K258" t="s">
        <v>27</v>
      </c>
      <c r="L258" t="s">
        <v>27</v>
      </c>
    </row>
    <row r="259" spans="1:14" x14ac:dyDescent="0.25">
      <c r="A259" t="s">
        <v>172</v>
      </c>
      <c r="B259" t="s">
        <v>198</v>
      </c>
      <c r="C259" t="s">
        <v>23</v>
      </c>
      <c r="D259" t="str">
        <f>_xlfn.CONCAT(Tableau3[[#This Row],[N.Star]]," ",Tableau3[[#This Row],[Const.]])</f>
        <v>V514 Cyg</v>
      </c>
      <c r="E259" s="8">
        <v>56622.28</v>
      </c>
      <c r="F259" s="8">
        <f>Tableau3[[#This Row],[ToM(+2400000)]]+2400000</f>
        <v>2456622.2799999998</v>
      </c>
      <c r="G259" s="34">
        <v>0.1</v>
      </c>
      <c r="H259" s="3" t="s">
        <v>24</v>
      </c>
      <c r="I259" t="s">
        <v>122</v>
      </c>
      <c r="J259" t="s">
        <v>26</v>
      </c>
      <c r="K259" t="s">
        <v>62</v>
      </c>
      <c r="L259" t="s">
        <v>199</v>
      </c>
    </row>
    <row r="260" spans="1:14" x14ac:dyDescent="0.25">
      <c r="A260" t="s">
        <v>172</v>
      </c>
      <c r="B260" t="s">
        <v>201</v>
      </c>
      <c r="C260" t="s">
        <v>23</v>
      </c>
      <c r="D260" t="str">
        <f>_xlfn.CONCAT(Tableau3[[#This Row],[N.Star]]," ",Tableau3[[#This Row],[Const.]])</f>
        <v>VX Cyg</v>
      </c>
      <c r="E260" s="8">
        <v>43400.21</v>
      </c>
      <c r="F260" s="8">
        <f>Tableau3[[#This Row],[ToM(+2400000)]]+2400000</f>
        <v>2443400.21</v>
      </c>
      <c r="G260" s="34">
        <v>0.1</v>
      </c>
      <c r="H260" s="3" t="s">
        <v>24</v>
      </c>
      <c r="I260" t="s">
        <v>37</v>
      </c>
      <c r="J260" t="s">
        <v>26</v>
      </c>
      <c r="K260" t="s">
        <v>78</v>
      </c>
      <c r="L260" t="s">
        <v>174</v>
      </c>
    </row>
    <row r="261" spans="1:14" x14ac:dyDescent="0.25">
      <c r="A261" t="s">
        <v>172</v>
      </c>
      <c r="B261" t="s">
        <v>202</v>
      </c>
      <c r="C261" t="s">
        <v>23</v>
      </c>
      <c r="D261" t="str">
        <f>_xlfn.CONCAT(Tableau3[[#This Row],[N.Star]]," ",Tableau3[[#This Row],[Const.]])</f>
        <v>VY Cyg</v>
      </c>
      <c r="E261" s="8">
        <v>43406.59</v>
      </c>
      <c r="F261" s="8">
        <f>Tableau3[[#This Row],[ToM(+2400000)]]+2400000</f>
        <v>2443406.59</v>
      </c>
      <c r="G261" s="34">
        <v>0.1</v>
      </c>
      <c r="H261" s="3" t="s">
        <v>24</v>
      </c>
      <c r="I261" t="s">
        <v>37</v>
      </c>
      <c r="J261" t="s">
        <v>26</v>
      </c>
      <c r="K261" t="s">
        <v>78</v>
      </c>
      <c r="L261" t="s">
        <v>174</v>
      </c>
    </row>
    <row r="262" spans="1:14" x14ac:dyDescent="0.25">
      <c r="A262" s="54" t="s">
        <v>172</v>
      </c>
      <c r="B262" s="54" t="s">
        <v>203</v>
      </c>
      <c r="C262" s="54" t="s">
        <v>23</v>
      </c>
      <c r="D262" s="54" t="str">
        <f>_xlfn.CONCAT(Tableau3[[#This Row],[N.Star]]," ",Tableau3[[#This Row],[Const.]])</f>
        <v>X Cyg</v>
      </c>
      <c r="E262" s="57">
        <v>42667.12</v>
      </c>
      <c r="F262" s="57">
        <f>Tableau3[[#This Row],[ToM(+2400000)]]+2400000</f>
        <v>2442667.12</v>
      </c>
      <c r="G262" s="55">
        <v>0.15</v>
      </c>
      <c r="H262" s="56" t="s">
        <v>24</v>
      </c>
      <c r="I262" s="54" t="s">
        <v>35</v>
      </c>
      <c r="J262" s="54" t="s">
        <v>26</v>
      </c>
      <c r="K262" s="54" t="s">
        <v>32</v>
      </c>
      <c r="L262" s="54" t="s">
        <v>147</v>
      </c>
      <c r="M262" s="54"/>
      <c r="N262" s="54" t="s">
        <v>34</v>
      </c>
    </row>
    <row r="263" spans="1:14" x14ac:dyDescent="0.25">
      <c r="A263" s="54" t="s">
        <v>172</v>
      </c>
      <c r="B263" s="54" t="s">
        <v>203</v>
      </c>
      <c r="C263" s="54" t="s">
        <v>23</v>
      </c>
      <c r="D263" s="54" t="str">
        <f>_xlfn.CONCAT(Tableau3[[#This Row],[N.Star]]," ",Tableau3[[#This Row],[Const.]])</f>
        <v>X Cyg</v>
      </c>
      <c r="E263" s="57">
        <v>42929.222999999998</v>
      </c>
      <c r="F263" s="57">
        <f>Tableau3[[#This Row],[ToM(+2400000)]]+2400000</f>
        <v>2442929.2230000002</v>
      </c>
      <c r="G263" s="55">
        <v>0.15</v>
      </c>
      <c r="H263" s="56" t="s">
        <v>24</v>
      </c>
      <c r="I263" s="54" t="s">
        <v>55</v>
      </c>
      <c r="J263" s="54" t="s">
        <v>26</v>
      </c>
      <c r="K263" s="54" t="s">
        <v>52</v>
      </c>
      <c r="L263" s="54" t="s">
        <v>53</v>
      </c>
      <c r="M263" s="54"/>
      <c r="N263" s="54"/>
    </row>
    <row r="264" spans="1:14" x14ac:dyDescent="0.25">
      <c r="A264" s="54" t="s">
        <v>172</v>
      </c>
      <c r="B264" s="54" t="s">
        <v>203</v>
      </c>
      <c r="C264" s="54" t="s">
        <v>23</v>
      </c>
      <c r="D264" s="54" t="str">
        <f>_xlfn.CONCAT(Tableau3[[#This Row],[N.Star]]," ",Tableau3[[#This Row],[Const.]])</f>
        <v>X Cyg</v>
      </c>
      <c r="E264" s="57">
        <v>42994.44</v>
      </c>
      <c r="F264" s="57">
        <f>Tableau3[[#This Row],[ToM(+2400000)]]+2400000</f>
        <v>2442994.44</v>
      </c>
      <c r="G264" s="55">
        <v>0.49</v>
      </c>
      <c r="H264" s="56" t="s">
        <v>24</v>
      </c>
      <c r="I264" s="54" t="s">
        <v>47</v>
      </c>
      <c r="J264" s="54" t="s">
        <v>26</v>
      </c>
      <c r="K264" s="54" t="s">
        <v>40</v>
      </c>
      <c r="L264" s="54" t="s">
        <v>41</v>
      </c>
      <c r="M264" s="54"/>
      <c r="N264" s="54"/>
    </row>
    <row r="265" spans="1:14" x14ac:dyDescent="0.25">
      <c r="A265" s="54" t="s">
        <v>172</v>
      </c>
      <c r="B265" s="54" t="s">
        <v>203</v>
      </c>
      <c r="C265" s="54" t="s">
        <v>23</v>
      </c>
      <c r="D265" s="54" t="str">
        <f>_xlfn.CONCAT(Tableau3[[#This Row],[N.Star]]," ",Tableau3[[#This Row],[Const.]])</f>
        <v>X Cyg</v>
      </c>
      <c r="E265" s="57">
        <v>43011.48</v>
      </c>
      <c r="F265" s="57">
        <f>Tableau3[[#This Row],[ToM(+2400000)]]+2400000</f>
        <v>2443011.48</v>
      </c>
      <c r="G265" s="55">
        <v>0.16</v>
      </c>
      <c r="H265" s="56" t="s">
        <v>24</v>
      </c>
      <c r="I265" s="54" t="s">
        <v>47</v>
      </c>
      <c r="J265" s="54" t="s">
        <v>26</v>
      </c>
      <c r="K265" s="54" t="s">
        <v>40</v>
      </c>
      <c r="L265" s="54" t="s">
        <v>41</v>
      </c>
      <c r="M265" s="54"/>
      <c r="N265" s="54"/>
    </row>
    <row r="266" spans="1:14" x14ac:dyDescent="0.25">
      <c r="A266" s="54" t="s">
        <v>172</v>
      </c>
      <c r="B266" s="54" t="s">
        <v>203</v>
      </c>
      <c r="C266" s="54" t="s">
        <v>23</v>
      </c>
      <c r="D266" s="54" t="str">
        <f>_xlfn.CONCAT(Tableau3[[#This Row],[N.Star]]," ",Tableau3[[#This Row],[Const.]])</f>
        <v>X Cyg</v>
      </c>
      <c r="E266" s="57">
        <v>43043.76</v>
      </c>
      <c r="F266" s="57">
        <f>Tableau3[[#This Row],[ToM(+2400000)]]+2400000</f>
        <v>2443043.7599999998</v>
      </c>
      <c r="G266" s="55">
        <v>0.15</v>
      </c>
      <c r="H266" s="56" t="s">
        <v>24</v>
      </c>
      <c r="I266" s="54" t="s">
        <v>70</v>
      </c>
      <c r="J266" s="54" t="s">
        <v>26</v>
      </c>
      <c r="K266" s="54" t="s">
        <v>52</v>
      </c>
      <c r="L266" s="54" t="s">
        <v>53</v>
      </c>
      <c r="M266" s="54"/>
      <c r="N266" s="54"/>
    </row>
    <row r="267" spans="1:14" x14ac:dyDescent="0.25">
      <c r="A267" s="54" t="s">
        <v>172</v>
      </c>
      <c r="B267" s="54" t="s">
        <v>203</v>
      </c>
      <c r="C267" s="54" t="s">
        <v>23</v>
      </c>
      <c r="D267" s="54" t="str">
        <f>_xlfn.CONCAT(Tableau3[[#This Row],[N.Star]]," ",Tableau3[[#This Row],[Const.]])</f>
        <v>X Cyg</v>
      </c>
      <c r="E267" s="57">
        <v>43044.42</v>
      </c>
      <c r="F267" s="57">
        <f>Tableau3[[#This Row],[ToM(+2400000)]]+2400000</f>
        <v>2443044.42</v>
      </c>
      <c r="G267" s="55">
        <v>0.15</v>
      </c>
      <c r="H267" s="56" t="s">
        <v>24</v>
      </c>
      <c r="I267" s="54" t="s">
        <v>69</v>
      </c>
      <c r="J267" s="54" t="s">
        <v>26</v>
      </c>
      <c r="K267" s="54" t="s">
        <v>52</v>
      </c>
      <c r="L267" s="54" t="s">
        <v>53</v>
      </c>
      <c r="M267" s="54"/>
      <c r="N267" s="54"/>
    </row>
    <row r="268" spans="1:14" x14ac:dyDescent="0.25">
      <c r="A268" s="54" t="s">
        <v>172</v>
      </c>
      <c r="B268" s="54" t="s">
        <v>203</v>
      </c>
      <c r="C268" s="54" t="s">
        <v>23</v>
      </c>
      <c r="D268" s="54" t="str">
        <f>_xlfn.CONCAT(Tableau3[[#This Row],[N.Star]]," ",Tableau3[[#This Row],[Const.]])</f>
        <v>X Cyg</v>
      </c>
      <c r="E268" s="57">
        <v>43060.15</v>
      </c>
      <c r="F268" s="57">
        <f>Tableau3[[#This Row],[ToM(+2400000)]]+2400000</f>
        <v>2443060.15</v>
      </c>
      <c r="G268" s="55">
        <v>0.15</v>
      </c>
      <c r="H268" s="56" t="s">
        <v>24</v>
      </c>
      <c r="I268" s="54" t="s">
        <v>100</v>
      </c>
      <c r="J268" s="54" t="s">
        <v>26</v>
      </c>
      <c r="K268" s="54" t="s">
        <v>52</v>
      </c>
      <c r="L268" s="54" t="s">
        <v>53</v>
      </c>
      <c r="M268" s="54"/>
      <c r="N268" s="54"/>
    </row>
    <row r="269" spans="1:14" x14ac:dyDescent="0.25">
      <c r="A269" s="54" t="s">
        <v>172</v>
      </c>
      <c r="B269" s="54" t="s">
        <v>203</v>
      </c>
      <c r="C269" s="54" t="s">
        <v>23</v>
      </c>
      <c r="D269" s="54" t="str">
        <f>_xlfn.CONCAT(Tableau3[[#This Row],[N.Star]]," ",Tableau3[[#This Row],[Const.]])</f>
        <v>X Cyg</v>
      </c>
      <c r="E269" s="57">
        <v>43060.41</v>
      </c>
      <c r="F269" s="57">
        <f>Tableau3[[#This Row],[ToM(+2400000)]]+2400000</f>
        <v>2443060.41</v>
      </c>
      <c r="G269" s="55">
        <v>0.6</v>
      </c>
      <c r="H269" s="56" t="s">
        <v>24</v>
      </c>
      <c r="I269" s="54" t="s">
        <v>100</v>
      </c>
      <c r="J269" s="54" t="s">
        <v>26</v>
      </c>
      <c r="K269" s="54" t="s">
        <v>49</v>
      </c>
      <c r="L269" s="54" t="s">
        <v>157</v>
      </c>
      <c r="M269" s="54"/>
      <c r="N269" s="54"/>
    </row>
    <row r="270" spans="1:14" x14ac:dyDescent="0.25">
      <c r="A270" s="54" t="s">
        <v>172</v>
      </c>
      <c r="B270" s="54" t="s">
        <v>203</v>
      </c>
      <c r="C270" s="54" t="s">
        <v>23</v>
      </c>
      <c r="D270" s="54" t="str">
        <f>_xlfn.CONCAT(Tableau3[[#This Row],[N.Star]]," ",Tableau3[[#This Row],[Const.]])</f>
        <v>X Cyg</v>
      </c>
      <c r="E270" s="57">
        <v>43060.639999999999</v>
      </c>
      <c r="F270" s="57">
        <f>Tableau3[[#This Row],[ToM(+2400000)]]+2400000</f>
        <v>2443060.64</v>
      </c>
      <c r="G270" s="55">
        <v>0.15</v>
      </c>
      <c r="H270" s="56" t="s">
        <v>24</v>
      </c>
      <c r="I270" s="54" t="s">
        <v>100</v>
      </c>
      <c r="J270" s="54" t="s">
        <v>26</v>
      </c>
      <c r="K270" s="54" t="s">
        <v>40</v>
      </c>
      <c r="L270" s="54" t="s">
        <v>41</v>
      </c>
      <c r="M270" s="54"/>
      <c r="N270" s="54"/>
    </row>
    <row r="271" spans="1:14" x14ac:dyDescent="0.25">
      <c r="A271" s="54" t="s">
        <v>172</v>
      </c>
      <c r="B271" s="54" t="s">
        <v>203</v>
      </c>
      <c r="C271" s="54" t="s">
        <v>23</v>
      </c>
      <c r="D271" s="54" t="str">
        <f>_xlfn.CONCAT(Tableau3[[#This Row],[N.Star]]," ",Tableau3[[#This Row],[Const.]])</f>
        <v>X Cyg</v>
      </c>
      <c r="E271" s="57">
        <v>43387.88</v>
      </c>
      <c r="F271" s="57">
        <f>Tableau3[[#This Row],[ToM(+2400000)]]+2400000</f>
        <v>2443387.88</v>
      </c>
      <c r="G271" s="55">
        <v>0.15</v>
      </c>
      <c r="H271" s="56" t="s">
        <v>24</v>
      </c>
      <c r="I271" s="54" t="s">
        <v>69</v>
      </c>
      <c r="J271" s="54" t="s">
        <v>26</v>
      </c>
      <c r="K271" s="54" t="s">
        <v>43</v>
      </c>
      <c r="L271" s="54" t="s">
        <v>148</v>
      </c>
      <c r="M271" s="54"/>
      <c r="N271" s="54"/>
    </row>
    <row r="272" spans="1:14" x14ac:dyDescent="0.25">
      <c r="A272" s="54" t="s">
        <v>172</v>
      </c>
      <c r="B272" s="54" t="s">
        <v>203</v>
      </c>
      <c r="C272" s="54" t="s">
        <v>23</v>
      </c>
      <c r="D272" s="54" t="str">
        <f>_xlfn.CONCAT(Tableau3[[#This Row],[N.Star]]," ",Tableau3[[#This Row],[Const.]])</f>
        <v>X Cyg</v>
      </c>
      <c r="E272" s="57">
        <v>43388.21</v>
      </c>
      <c r="F272" s="57">
        <f>Tableau3[[#This Row],[ToM(+2400000)]]+2400000</f>
        <v>2443388.21</v>
      </c>
      <c r="G272" s="55">
        <v>0.15</v>
      </c>
      <c r="H272" s="56" t="s">
        <v>24</v>
      </c>
      <c r="I272" s="54" t="s">
        <v>47</v>
      </c>
      <c r="J272" s="54" t="s">
        <v>26</v>
      </c>
      <c r="K272" s="54" t="s">
        <v>43</v>
      </c>
      <c r="L272" s="54" t="s">
        <v>148</v>
      </c>
      <c r="M272" s="54"/>
      <c r="N272" s="54"/>
    </row>
    <row r="273" spans="1:14" x14ac:dyDescent="0.25">
      <c r="A273" s="54" t="s">
        <v>172</v>
      </c>
      <c r="B273" s="54" t="s">
        <v>203</v>
      </c>
      <c r="C273" s="54" t="s">
        <v>23</v>
      </c>
      <c r="D273" s="54" t="str">
        <f>_xlfn.CONCAT(Tableau3[[#This Row],[N.Star]]," ",Tableau3[[#This Row],[Const.]])</f>
        <v>X Cyg</v>
      </c>
      <c r="E273" s="57">
        <v>43404.59</v>
      </c>
      <c r="F273" s="57">
        <f>Tableau3[[#This Row],[ToM(+2400000)]]+2400000</f>
        <v>2443404.59</v>
      </c>
      <c r="G273" s="55">
        <v>0.15</v>
      </c>
      <c r="H273" s="56" t="s">
        <v>24</v>
      </c>
      <c r="I273" s="54" t="s">
        <v>54</v>
      </c>
      <c r="J273" s="54" t="s">
        <v>26</v>
      </c>
      <c r="K273" s="54" t="s">
        <v>43</v>
      </c>
      <c r="L273" s="54" t="s">
        <v>148</v>
      </c>
      <c r="M273" s="54"/>
      <c r="N273" s="54"/>
    </row>
    <row r="274" spans="1:14" x14ac:dyDescent="0.25">
      <c r="A274" s="54" t="s">
        <v>172</v>
      </c>
      <c r="B274" s="54" t="s">
        <v>203</v>
      </c>
      <c r="C274" s="54" t="s">
        <v>23</v>
      </c>
      <c r="D274" s="54" t="str">
        <f>_xlfn.CONCAT(Tableau3[[#This Row],[N.Star]]," ",Tableau3[[#This Row],[Const.]])</f>
        <v>X Cyg</v>
      </c>
      <c r="E274" s="57">
        <v>43404.59</v>
      </c>
      <c r="F274" s="57">
        <f>Tableau3[[#This Row],[ToM(+2400000)]]+2400000</f>
        <v>2443404.59</v>
      </c>
      <c r="G274" s="55">
        <v>0.15</v>
      </c>
      <c r="H274" s="56" t="s">
        <v>24</v>
      </c>
      <c r="I274" s="54" t="s">
        <v>45</v>
      </c>
      <c r="J274" s="54" t="s">
        <v>26</v>
      </c>
      <c r="K274" s="54" t="s">
        <v>43</v>
      </c>
      <c r="L274" s="54" t="s">
        <v>148</v>
      </c>
      <c r="M274" s="54"/>
      <c r="N274" s="54"/>
    </row>
    <row r="275" spans="1:14" x14ac:dyDescent="0.25">
      <c r="A275" s="54" t="s">
        <v>172</v>
      </c>
      <c r="B275" s="54" t="s">
        <v>203</v>
      </c>
      <c r="C275" s="54" t="s">
        <v>23</v>
      </c>
      <c r="D275" s="54" t="str">
        <f>_xlfn.CONCAT(Tableau3[[#This Row],[N.Star]]," ",Tableau3[[#This Row],[Const.]])</f>
        <v>X Cyg</v>
      </c>
      <c r="E275" s="57">
        <v>43420.65</v>
      </c>
      <c r="F275" s="57">
        <f>Tableau3[[#This Row],[ToM(+2400000)]]+2400000</f>
        <v>2443420.65</v>
      </c>
      <c r="G275" s="55">
        <v>0.15</v>
      </c>
      <c r="H275" s="56" t="s">
        <v>24</v>
      </c>
      <c r="I275" s="54" t="s">
        <v>46</v>
      </c>
      <c r="J275" s="54" t="s">
        <v>26</v>
      </c>
      <c r="K275" s="54" t="s">
        <v>43</v>
      </c>
      <c r="L275" s="54" t="s">
        <v>148</v>
      </c>
      <c r="M275" s="54"/>
      <c r="N275" s="54"/>
    </row>
    <row r="276" spans="1:14" x14ac:dyDescent="0.25">
      <c r="A276" s="54" t="s">
        <v>172</v>
      </c>
      <c r="B276" s="54" t="s">
        <v>203</v>
      </c>
      <c r="C276" s="54" t="s">
        <v>23</v>
      </c>
      <c r="D276" s="54" t="str">
        <f>_xlfn.CONCAT(Tableau3[[#This Row],[N.Star]]," ",Tableau3[[#This Row],[Const.]])</f>
        <v>X Cyg</v>
      </c>
      <c r="E276" s="57">
        <v>43422.29</v>
      </c>
      <c r="F276" s="57">
        <f>Tableau3[[#This Row],[ToM(+2400000)]]+2400000</f>
        <v>2443422.29</v>
      </c>
      <c r="G276" s="55">
        <v>0.15</v>
      </c>
      <c r="H276" s="56" t="s">
        <v>24</v>
      </c>
      <c r="I276" s="54" t="s">
        <v>42</v>
      </c>
      <c r="J276" s="54" t="s">
        <v>26</v>
      </c>
      <c r="K276" s="54" t="s">
        <v>43</v>
      </c>
      <c r="L276" s="54" t="s">
        <v>148</v>
      </c>
      <c r="M276" s="54"/>
      <c r="N276" s="54"/>
    </row>
    <row r="277" spans="1:14" x14ac:dyDescent="0.25">
      <c r="A277" s="54" t="s">
        <v>172</v>
      </c>
      <c r="B277" s="54" t="s">
        <v>203</v>
      </c>
      <c r="C277" s="54" t="s">
        <v>23</v>
      </c>
      <c r="D277" s="54" t="str">
        <f>_xlfn.CONCAT(Tableau3[[#This Row],[N.Star]]," ",Tableau3[[#This Row],[Const.]])</f>
        <v>X Cyg</v>
      </c>
      <c r="E277" s="57">
        <v>43453.42</v>
      </c>
      <c r="F277" s="57">
        <f>Tableau3[[#This Row],[ToM(+2400000)]]+2400000</f>
        <v>2443453.42</v>
      </c>
      <c r="G277" s="55">
        <v>0.6</v>
      </c>
      <c r="H277" s="56" t="s">
        <v>24</v>
      </c>
      <c r="I277" s="54" t="s">
        <v>100</v>
      </c>
      <c r="J277" s="54" t="s">
        <v>26</v>
      </c>
      <c r="K277" s="54" t="s">
        <v>49</v>
      </c>
      <c r="L277" s="54" t="s">
        <v>176</v>
      </c>
      <c r="M277" s="54"/>
      <c r="N277" s="54"/>
    </row>
    <row r="278" spans="1:14" x14ac:dyDescent="0.25">
      <c r="A278" s="54" t="s">
        <v>172</v>
      </c>
      <c r="B278" s="54" t="s">
        <v>203</v>
      </c>
      <c r="C278" s="54" t="s">
        <v>23</v>
      </c>
      <c r="D278" s="54" t="str">
        <f>_xlfn.CONCAT(Tableau3[[#This Row],[N.Star]]," ",Tableau3[[#This Row],[Const.]])</f>
        <v>X Cyg</v>
      </c>
      <c r="E278" s="57">
        <v>43543.42</v>
      </c>
      <c r="F278" s="57">
        <f>Tableau3[[#This Row],[ToM(+2400000)]]+2400000</f>
        <v>2443543.42</v>
      </c>
      <c r="G278" s="55">
        <v>0.15</v>
      </c>
      <c r="H278" s="56" t="s">
        <v>24</v>
      </c>
      <c r="I278" s="54" t="s">
        <v>100</v>
      </c>
      <c r="J278" s="54" t="s">
        <v>26</v>
      </c>
      <c r="K278" s="54" t="s">
        <v>43</v>
      </c>
      <c r="L278" s="54" t="s">
        <v>148</v>
      </c>
      <c r="M278" s="54"/>
      <c r="N278" s="54"/>
    </row>
    <row r="279" spans="1:14" x14ac:dyDescent="0.25">
      <c r="A279" s="54" t="s">
        <v>172</v>
      </c>
      <c r="B279" s="54" t="s">
        <v>203</v>
      </c>
      <c r="C279" s="54" t="s">
        <v>23</v>
      </c>
      <c r="D279" s="54" t="str">
        <f>_xlfn.CONCAT(Tableau3[[#This Row],[N.Star]]," ",Tableau3[[#This Row],[Const.]])</f>
        <v>X Cyg</v>
      </c>
      <c r="E279" s="57">
        <v>43764.771999999997</v>
      </c>
      <c r="F279" s="57">
        <f>Tableau3[[#This Row],[ToM(+2400000)]]+2400000</f>
        <v>2443764.7719999999</v>
      </c>
      <c r="G279" s="55">
        <v>0.5</v>
      </c>
      <c r="H279" s="56" t="s">
        <v>24</v>
      </c>
      <c r="I279" s="54" t="s">
        <v>100</v>
      </c>
      <c r="J279" s="54" t="s">
        <v>26</v>
      </c>
      <c r="K279" s="54" t="s">
        <v>106</v>
      </c>
      <c r="L279" s="54" t="s">
        <v>107</v>
      </c>
      <c r="M279" s="54"/>
      <c r="N279" s="54"/>
    </row>
    <row r="280" spans="1:14" x14ac:dyDescent="0.25">
      <c r="A280" s="54" t="s">
        <v>172</v>
      </c>
      <c r="B280" s="54" t="s">
        <v>203</v>
      </c>
      <c r="C280" s="54" t="s">
        <v>23</v>
      </c>
      <c r="D280" s="54" t="str">
        <f>_xlfn.CONCAT(Tableau3[[#This Row],[N.Star]]," ",Tableau3[[#This Row],[Const.]])</f>
        <v>X Cyg</v>
      </c>
      <c r="E280" s="57">
        <v>48091.32</v>
      </c>
      <c r="F280" s="57">
        <f>Tableau3[[#This Row],[ToM(+2400000)]]+2400000</f>
        <v>2448091.3199999998</v>
      </c>
      <c r="G280" s="55">
        <v>0.33</v>
      </c>
      <c r="H280" s="56" t="s">
        <v>24</v>
      </c>
      <c r="I280" s="54" t="s">
        <v>48</v>
      </c>
      <c r="J280" s="54" t="s">
        <v>26</v>
      </c>
      <c r="K280" s="54" t="s">
        <v>49</v>
      </c>
      <c r="L280" s="54" t="s">
        <v>157</v>
      </c>
      <c r="M280" s="54"/>
      <c r="N280" s="54"/>
    </row>
    <row r="281" spans="1:14" x14ac:dyDescent="0.25">
      <c r="A281" t="s">
        <v>204</v>
      </c>
      <c r="B281" t="s">
        <v>205</v>
      </c>
      <c r="C281" t="s">
        <v>23</v>
      </c>
      <c r="D281" t="str">
        <f>_xlfn.CONCAT(Tableau3[[#This Row],[N.Star]]," ",Tableau3[[#This Row],[Const.]])</f>
        <v>BX Del</v>
      </c>
      <c r="E281" s="8">
        <v>47886.222999999998</v>
      </c>
      <c r="F281" s="8">
        <f>Tableau3[[#This Row],[ToM(+2400000)]]+2400000</f>
        <v>2447886.2230000002</v>
      </c>
      <c r="G281" s="34">
        <v>1.0999999999999999E-2</v>
      </c>
      <c r="H281" s="3" t="s">
        <v>24</v>
      </c>
      <c r="I281" t="s">
        <v>25</v>
      </c>
      <c r="J281" t="s">
        <v>26</v>
      </c>
      <c r="K281" t="s">
        <v>27</v>
      </c>
      <c r="L281" t="s">
        <v>27</v>
      </c>
      <c r="N281" t="s">
        <v>160</v>
      </c>
    </row>
    <row r="282" spans="1:14" x14ac:dyDescent="0.25">
      <c r="A282" t="s">
        <v>204</v>
      </c>
      <c r="B282" t="s">
        <v>194</v>
      </c>
      <c r="C282" t="s">
        <v>23</v>
      </c>
      <c r="D282" t="str">
        <f>_xlfn.CONCAT(Tableau3[[#This Row],[N.Star]]," ",Tableau3[[#This Row],[Const.]])</f>
        <v>TX Del</v>
      </c>
      <c r="E282" s="8">
        <v>43731.02</v>
      </c>
      <c r="F282" s="8">
        <f>Tableau3[[#This Row],[ToM(+2400000)]]+2400000</f>
        <v>2443731.02</v>
      </c>
      <c r="G282" s="34">
        <v>0.1</v>
      </c>
      <c r="H282" s="3" t="s">
        <v>24</v>
      </c>
      <c r="I282" t="s">
        <v>66</v>
      </c>
      <c r="J282" t="s">
        <v>26</v>
      </c>
      <c r="K282" t="s">
        <v>78</v>
      </c>
      <c r="L282" t="s">
        <v>174</v>
      </c>
    </row>
    <row r="283" spans="1:14" x14ac:dyDescent="0.25">
      <c r="A283" s="70" t="s">
        <v>206</v>
      </c>
      <c r="B283" s="70" t="s">
        <v>207</v>
      </c>
      <c r="C283" s="70" t="s">
        <v>23</v>
      </c>
      <c r="D283" s="70" t="str">
        <f>_xlfn.CONCAT(Tableau3[[#This Row],[N.Star]]," ",Tableau3[[#This Row],[Const.]])</f>
        <v>DZETA Gem</v>
      </c>
      <c r="E283" s="76">
        <v>41917.68</v>
      </c>
      <c r="F283" s="76">
        <f>Tableau3[[#This Row],[ToM(+2400000)]]+2400000</f>
        <v>2441917.6800000002</v>
      </c>
      <c r="G283" s="71">
        <v>0.1</v>
      </c>
      <c r="H283" s="72" t="s">
        <v>24</v>
      </c>
      <c r="I283" s="70" t="s">
        <v>208</v>
      </c>
      <c r="J283" s="70" t="s">
        <v>26</v>
      </c>
      <c r="K283" s="70" t="s">
        <v>78</v>
      </c>
      <c r="L283" s="70" t="s">
        <v>209</v>
      </c>
      <c r="M283" s="70"/>
      <c r="N283" s="70"/>
    </row>
    <row r="284" spans="1:14" x14ac:dyDescent="0.25">
      <c r="A284" s="70" t="s">
        <v>206</v>
      </c>
      <c r="B284" s="70" t="s">
        <v>207</v>
      </c>
      <c r="C284" s="70" t="s">
        <v>23</v>
      </c>
      <c r="D284" s="70" t="str">
        <f>_xlfn.CONCAT(Tableau3[[#This Row],[N.Star]]," ",Tableau3[[#This Row],[Const.]])</f>
        <v>DZETA Gem</v>
      </c>
      <c r="E284" s="76">
        <v>42475.87</v>
      </c>
      <c r="F284" s="76">
        <f>Tableau3[[#This Row],[ToM(+2400000)]]+2400000</f>
        <v>2442475.87</v>
      </c>
      <c r="G284" s="71">
        <v>0.1</v>
      </c>
      <c r="H284" s="72" t="s">
        <v>24</v>
      </c>
      <c r="I284" s="70" t="s">
        <v>35</v>
      </c>
      <c r="J284" s="70" t="s">
        <v>26</v>
      </c>
      <c r="K284" s="70" t="s">
        <v>78</v>
      </c>
      <c r="L284" s="70" t="s">
        <v>209</v>
      </c>
      <c r="M284" s="70"/>
      <c r="N284" s="70"/>
    </row>
    <row r="285" spans="1:14" x14ac:dyDescent="0.25">
      <c r="A285" s="70" t="s">
        <v>206</v>
      </c>
      <c r="B285" s="70" t="s">
        <v>207</v>
      </c>
      <c r="C285" s="70" t="s">
        <v>23</v>
      </c>
      <c r="D285" s="70" t="str">
        <f>_xlfn.CONCAT(Tableau3[[#This Row],[N.Star]]," ",Tableau3[[#This Row],[Const.]])</f>
        <v>DZETA Gem</v>
      </c>
      <c r="E285" s="76">
        <v>42506.22</v>
      </c>
      <c r="F285" s="76">
        <f>Tableau3[[#This Row],[ToM(+2400000)]]+2400000</f>
        <v>2442506.2200000002</v>
      </c>
      <c r="G285" s="71">
        <v>0.15</v>
      </c>
      <c r="H285" s="72" t="s">
        <v>24</v>
      </c>
      <c r="I285" s="70" t="s">
        <v>31</v>
      </c>
      <c r="J285" s="70" t="s">
        <v>26</v>
      </c>
      <c r="K285" s="70" t="s">
        <v>32</v>
      </c>
      <c r="L285" s="70" t="s">
        <v>36</v>
      </c>
      <c r="M285" s="70"/>
      <c r="N285" s="70" t="s">
        <v>34</v>
      </c>
    </row>
    <row r="286" spans="1:14" x14ac:dyDescent="0.25">
      <c r="A286" s="70" t="s">
        <v>206</v>
      </c>
      <c r="B286" s="70" t="s">
        <v>207</v>
      </c>
      <c r="C286" s="70" t="s">
        <v>23</v>
      </c>
      <c r="D286" s="70" t="str">
        <f>_xlfn.CONCAT(Tableau3[[#This Row],[N.Star]]," ",Tableau3[[#This Row],[Const.]])</f>
        <v>DZETA Gem</v>
      </c>
      <c r="E286" s="76">
        <v>42861.75</v>
      </c>
      <c r="F286" s="76">
        <f>Tableau3[[#This Row],[ToM(+2400000)]]+2400000</f>
        <v>2442861.75</v>
      </c>
      <c r="G286" s="71">
        <v>7.4999999999999997E-2</v>
      </c>
      <c r="H286" s="72" t="s">
        <v>24</v>
      </c>
      <c r="I286" s="70" t="s">
        <v>38</v>
      </c>
      <c r="J286" s="70" t="s">
        <v>26</v>
      </c>
      <c r="K286" s="70" t="s">
        <v>27</v>
      </c>
      <c r="L286" s="70" t="s">
        <v>27</v>
      </c>
      <c r="M286" s="70"/>
      <c r="N286" s="70" t="s">
        <v>39</v>
      </c>
    </row>
    <row r="287" spans="1:14" x14ac:dyDescent="0.25">
      <c r="A287" s="70" t="s">
        <v>206</v>
      </c>
      <c r="B287" s="70" t="s">
        <v>207</v>
      </c>
      <c r="C287" s="70" t="s">
        <v>23</v>
      </c>
      <c r="D287" s="70" t="str">
        <f>_xlfn.CONCAT(Tableau3[[#This Row],[N.Star]]," ",Tableau3[[#This Row],[Const.]])</f>
        <v>DZETA Gem</v>
      </c>
      <c r="E287" s="76">
        <v>43206.55</v>
      </c>
      <c r="F287" s="76">
        <f>Tableau3[[#This Row],[ToM(+2400000)]]+2400000</f>
        <v>2443206.5499999998</v>
      </c>
      <c r="G287" s="71">
        <v>0.05</v>
      </c>
      <c r="H287" s="72" t="s">
        <v>24</v>
      </c>
      <c r="I287" s="70" t="s">
        <v>38</v>
      </c>
      <c r="J287" s="70" t="s">
        <v>26</v>
      </c>
      <c r="K287" s="70" t="s">
        <v>27</v>
      </c>
      <c r="L287" s="70" t="s">
        <v>27</v>
      </c>
      <c r="M287" s="70"/>
      <c r="N287" s="70" t="s">
        <v>39</v>
      </c>
    </row>
    <row r="288" spans="1:14" x14ac:dyDescent="0.25">
      <c r="A288" s="70" t="s">
        <v>206</v>
      </c>
      <c r="B288" s="70" t="s">
        <v>207</v>
      </c>
      <c r="C288" s="70" t="s">
        <v>23</v>
      </c>
      <c r="D288" s="70" t="str">
        <f>_xlfn.CONCAT(Tableau3[[#This Row],[N.Star]]," ",Tableau3[[#This Row],[Const.]])</f>
        <v>DZETA Gem</v>
      </c>
      <c r="E288" s="76">
        <v>43542.42</v>
      </c>
      <c r="F288" s="76">
        <f>Tableau3[[#This Row],[ToM(+2400000)]]+2400000</f>
        <v>2443542.42</v>
      </c>
      <c r="G288" s="71">
        <v>0.1</v>
      </c>
      <c r="H288" s="72" t="s">
        <v>24</v>
      </c>
      <c r="I288" s="70" t="s">
        <v>47</v>
      </c>
      <c r="J288" s="70" t="s">
        <v>26</v>
      </c>
      <c r="K288" s="70" t="s">
        <v>78</v>
      </c>
      <c r="L288" s="70" t="s">
        <v>209</v>
      </c>
      <c r="M288" s="70"/>
      <c r="N288" s="70"/>
    </row>
    <row r="289" spans="1:14" x14ac:dyDescent="0.25">
      <c r="A289" s="70" t="s">
        <v>206</v>
      </c>
      <c r="B289" s="70" t="s">
        <v>207</v>
      </c>
      <c r="C289" s="70" t="s">
        <v>23</v>
      </c>
      <c r="D289" s="70" t="str">
        <f>_xlfn.CONCAT(Tableau3[[#This Row],[N.Star]]," ",Tableau3[[#This Row],[Const.]])</f>
        <v>DZETA Gem</v>
      </c>
      <c r="E289" s="76">
        <v>43552.15</v>
      </c>
      <c r="F289" s="76">
        <f>Tableau3[[#This Row],[ToM(+2400000)]]+2400000</f>
        <v>2443552.15</v>
      </c>
      <c r="G289" s="71">
        <v>0.1</v>
      </c>
      <c r="H289" s="72" t="s">
        <v>24</v>
      </c>
      <c r="I289" s="70" t="s">
        <v>54</v>
      </c>
      <c r="J289" s="70" t="s">
        <v>26</v>
      </c>
      <c r="K289" s="70" t="s">
        <v>78</v>
      </c>
      <c r="L289" s="70" t="s">
        <v>209</v>
      </c>
      <c r="M289" s="70"/>
      <c r="N289" s="70"/>
    </row>
    <row r="290" spans="1:14" x14ac:dyDescent="0.25">
      <c r="A290" s="70" t="s">
        <v>206</v>
      </c>
      <c r="B290" s="70" t="s">
        <v>207</v>
      </c>
      <c r="C290" s="70" t="s">
        <v>23</v>
      </c>
      <c r="D290" s="70" t="str">
        <f>_xlfn.CONCAT(Tableau3[[#This Row],[N.Star]]," ",Tableau3[[#This Row],[Const.]])</f>
        <v>DZETA Gem</v>
      </c>
      <c r="E290" s="76">
        <v>43866.64</v>
      </c>
      <c r="F290" s="76">
        <f>Tableau3[[#This Row],[ToM(+2400000)]]+2400000</f>
        <v>2443866.64</v>
      </c>
      <c r="G290" s="71">
        <v>0.1</v>
      </c>
      <c r="H290" s="72" t="s">
        <v>24</v>
      </c>
      <c r="I290" s="70" t="s">
        <v>208</v>
      </c>
      <c r="J290" s="70" t="s">
        <v>26</v>
      </c>
      <c r="K290" s="70" t="s">
        <v>78</v>
      </c>
      <c r="L290" s="70" t="s">
        <v>209</v>
      </c>
      <c r="M290" s="70"/>
      <c r="N290" s="70"/>
    </row>
    <row r="291" spans="1:14" x14ac:dyDescent="0.25">
      <c r="A291" s="70" t="s">
        <v>206</v>
      </c>
      <c r="B291" s="70" t="s">
        <v>207</v>
      </c>
      <c r="C291" s="70" t="s">
        <v>23</v>
      </c>
      <c r="D291" s="70" t="str">
        <f>_xlfn.CONCAT(Tableau3[[#This Row],[N.Star]]," ",Tableau3[[#This Row],[Const.]])</f>
        <v>DZETA Gem</v>
      </c>
      <c r="E291" s="76">
        <v>43917.7</v>
      </c>
      <c r="F291" s="76">
        <f>Tableau3[[#This Row],[ToM(+2400000)]]+2400000</f>
        <v>2443917.7000000002</v>
      </c>
      <c r="G291" s="71">
        <v>0.1</v>
      </c>
      <c r="H291" s="72" t="s">
        <v>24</v>
      </c>
      <c r="I291" s="70" t="s">
        <v>177</v>
      </c>
      <c r="J291" s="70" t="s">
        <v>26</v>
      </c>
      <c r="K291" s="70" t="s">
        <v>78</v>
      </c>
      <c r="L291" s="70" t="s">
        <v>209</v>
      </c>
      <c r="M291" s="70"/>
      <c r="N291" s="70"/>
    </row>
    <row r="292" spans="1:14" x14ac:dyDescent="0.25">
      <c r="A292" s="70" t="s">
        <v>206</v>
      </c>
      <c r="B292" s="70" t="s">
        <v>207</v>
      </c>
      <c r="C292" s="70" t="s">
        <v>23</v>
      </c>
      <c r="D292" s="70" t="str">
        <f>_xlfn.CONCAT(Tableau3[[#This Row],[N.Star]]," ",Tableau3[[#This Row],[Const.]])</f>
        <v>DZETA Gem</v>
      </c>
      <c r="E292" s="76">
        <v>43948.05</v>
      </c>
      <c r="F292" s="76">
        <f>Tableau3[[#This Row],[ToM(+2400000)]]+2400000</f>
        <v>2443948.0499999998</v>
      </c>
      <c r="G292" s="71">
        <v>0.1</v>
      </c>
      <c r="H292" s="72" t="s">
        <v>24</v>
      </c>
      <c r="I292" s="70" t="s">
        <v>208</v>
      </c>
      <c r="J292" s="70" t="s">
        <v>26</v>
      </c>
      <c r="K292" s="70" t="s">
        <v>78</v>
      </c>
      <c r="L292" s="70" t="s">
        <v>209</v>
      </c>
      <c r="M292" s="70"/>
      <c r="N292" s="70"/>
    </row>
    <row r="293" spans="1:14" x14ac:dyDescent="0.25">
      <c r="A293" s="70" t="s">
        <v>206</v>
      </c>
      <c r="B293" s="70" t="s">
        <v>207</v>
      </c>
      <c r="C293" s="70" t="s">
        <v>23</v>
      </c>
      <c r="D293" s="70" t="str">
        <f>_xlfn.CONCAT(Tableau3[[#This Row],[N.Star]]," ",Tableau3[[#This Row],[Const.]])</f>
        <v>DZETA Gem</v>
      </c>
      <c r="E293" s="76">
        <v>44272.77</v>
      </c>
      <c r="F293" s="76">
        <f>Tableau3[[#This Row],[ToM(+2400000)]]+2400000</f>
        <v>2444272.77</v>
      </c>
      <c r="G293" s="71">
        <v>0.1</v>
      </c>
      <c r="H293" s="72" t="s">
        <v>24</v>
      </c>
      <c r="I293" s="70" t="s">
        <v>208</v>
      </c>
      <c r="J293" s="70" t="s">
        <v>26</v>
      </c>
      <c r="K293" s="70" t="s">
        <v>78</v>
      </c>
      <c r="L293" s="70" t="s">
        <v>209</v>
      </c>
      <c r="M293" s="70"/>
      <c r="N293" s="70"/>
    </row>
    <row r="294" spans="1:14" x14ac:dyDescent="0.25">
      <c r="A294" s="70" t="s">
        <v>206</v>
      </c>
      <c r="B294" s="70" t="s">
        <v>207</v>
      </c>
      <c r="C294" s="70" t="s">
        <v>23</v>
      </c>
      <c r="D294" s="70" t="str">
        <f>_xlfn.CONCAT(Tableau3[[#This Row],[N.Star]]," ",Tableau3[[#This Row],[Const.]])</f>
        <v>DZETA Gem</v>
      </c>
      <c r="E294" s="76">
        <v>44638.51</v>
      </c>
      <c r="F294" s="76">
        <f>Tableau3[[#This Row],[ToM(+2400000)]]+2400000</f>
        <v>2444638.5099999998</v>
      </c>
      <c r="G294" s="71">
        <v>0.1</v>
      </c>
      <c r="H294" s="72" t="s">
        <v>24</v>
      </c>
      <c r="I294" s="70" t="s">
        <v>208</v>
      </c>
      <c r="J294" s="70" t="s">
        <v>26</v>
      </c>
      <c r="K294" s="70" t="s">
        <v>78</v>
      </c>
      <c r="L294" s="70" t="s">
        <v>209</v>
      </c>
      <c r="M294" s="70"/>
      <c r="N294" s="70"/>
    </row>
    <row r="295" spans="1:14" x14ac:dyDescent="0.25">
      <c r="A295" s="73" t="s">
        <v>206</v>
      </c>
      <c r="B295" s="73" t="s">
        <v>210</v>
      </c>
      <c r="C295" s="73" t="s">
        <v>23</v>
      </c>
      <c r="D295" s="73" t="str">
        <f>_xlfn.CONCAT(Tableau3[[#This Row],[N.Star]]," ",Tableau3[[#This Row],[Const.]])</f>
        <v>W Gem</v>
      </c>
      <c r="E295" s="100">
        <v>43198.78</v>
      </c>
      <c r="F295" s="100">
        <f>Tableau3[[#This Row],[ToM(+2400000)]]+2400000</f>
        <v>2443198.7799999998</v>
      </c>
      <c r="G295" s="101">
        <v>0.15</v>
      </c>
      <c r="H295" s="102" t="s">
        <v>24</v>
      </c>
      <c r="I295" s="73" t="s">
        <v>47</v>
      </c>
      <c r="J295" s="73" t="s">
        <v>26</v>
      </c>
      <c r="K295" s="73" t="s">
        <v>52</v>
      </c>
      <c r="L295" s="73" t="s">
        <v>53</v>
      </c>
      <c r="M295" s="73"/>
      <c r="N295" s="73"/>
    </row>
    <row r="296" spans="1:14" x14ac:dyDescent="0.25">
      <c r="A296" s="73" t="s">
        <v>206</v>
      </c>
      <c r="B296" s="73" t="s">
        <v>210</v>
      </c>
      <c r="C296" s="73" t="s">
        <v>23</v>
      </c>
      <c r="D296" s="73" t="str">
        <f>_xlfn.CONCAT(Tableau3[[#This Row],[N.Star]]," ",Tableau3[[#This Row],[Const.]])</f>
        <v>W Gem</v>
      </c>
      <c r="E296" s="100">
        <v>43358.77</v>
      </c>
      <c r="F296" s="100">
        <f>Tableau3[[#This Row],[ToM(+2400000)]]+2400000</f>
        <v>2443358.77</v>
      </c>
      <c r="G296" s="101">
        <v>0.1</v>
      </c>
      <c r="H296" s="102" t="s">
        <v>24</v>
      </c>
      <c r="I296" s="73" t="s">
        <v>211</v>
      </c>
      <c r="J296" s="73" t="s">
        <v>26</v>
      </c>
      <c r="K296" s="73" t="s">
        <v>78</v>
      </c>
      <c r="L296" s="73" t="s">
        <v>209</v>
      </c>
      <c r="M296" s="73"/>
      <c r="N296" s="73"/>
    </row>
    <row r="297" spans="1:14" x14ac:dyDescent="0.25">
      <c r="A297" s="73" t="s">
        <v>206</v>
      </c>
      <c r="B297" s="73" t="s">
        <v>210</v>
      </c>
      <c r="C297" s="73" t="s">
        <v>23</v>
      </c>
      <c r="D297" s="73" t="str">
        <f>_xlfn.CONCAT(Tableau3[[#This Row],[N.Star]]," ",Tableau3[[#This Row],[Const.]])</f>
        <v>W Gem</v>
      </c>
      <c r="E297" s="100">
        <v>43539</v>
      </c>
      <c r="F297" s="100">
        <f>Tableau3[[#This Row],[ToM(+2400000)]]+2400000</f>
        <v>2443539</v>
      </c>
      <c r="G297" s="101">
        <v>0.1</v>
      </c>
      <c r="H297" s="102" t="s">
        <v>24</v>
      </c>
      <c r="I297" s="73" t="s">
        <v>103</v>
      </c>
      <c r="J297" s="73" t="s">
        <v>26</v>
      </c>
      <c r="K297" s="73" t="s">
        <v>78</v>
      </c>
      <c r="L297" s="73" t="s">
        <v>209</v>
      </c>
      <c r="M297" s="73"/>
      <c r="N297" s="73"/>
    </row>
    <row r="298" spans="1:14" x14ac:dyDescent="0.25">
      <c r="A298" s="73" t="s">
        <v>206</v>
      </c>
      <c r="B298" s="73" t="s">
        <v>210</v>
      </c>
      <c r="C298" s="73" t="s">
        <v>23</v>
      </c>
      <c r="D298" s="73" t="str">
        <f>_xlfn.CONCAT(Tableau3[[#This Row],[N.Star]]," ",Tableau3[[#This Row],[Const.]])</f>
        <v>W Gem</v>
      </c>
      <c r="E298" s="100">
        <v>43546.92</v>
      </c>
      <c r="F298" s="100">
        <f>Tableau3[[#This Row],[ToM(+2400000)]]+2400000</f>
        <v>2443546.92</v>
      </c>
      <c r="G298" s="101">
        <v>0.1</v>
      </c>
      <c r="H298" s="102" t="s">
        <v>24</v>
      </c>
      <c r="I298" s="73" t="s">
        <v>47</v>
      </c>
      <c r="J298" s="73" t="s">
        <v>26</v>
      </c>
      <c r="K298" s="73" t="s">
        <v>78</v>
      </c>
      <c r="L298" s="73" t="s">
        <v>209</v>
      </c>
      <c r="M298" s="73"/>
      <c r="N298" s="73"/>
    </row>
    <row r="299" spans="1:14" x14ac:dyDescent="0.25">
      <c r="A299" s="73" t="s">
        <v>206</v>
      </c>
      <c r="B299" s="73" t="s">
        <v>210</v>
      </c>
      <c r="C299" s="73" t="s">
        <v>23</v>
      </c>
      <c r="D299" s="73" t="str">
        <f>_xlfn.CONCAT(Tableau3[[#This Row],[N.Star]]," ",Tableau3[[#This Row],[Const.]])</f>
        <v>W Gem</v>
      </c>
      <c r="E299" s="100">
        <v>43547.08</v>
      </c>
      <c r="F299" s="100">
        <f>Tableau3[[#This Row],[ToM(+2400000)]]+2400000</f>
        <v>2443547.08</v>
      </c>
      <c r="G299" s="101">
        <v>0.1</v>
      </c>
      <c r="H299" s="102" t="s">
        <v>24</v>
      </c>
      <c r="I299" s="73" t="s">
        <v>54</v>
      </c>
      <c r="J299" s="73" t="s">
        <v>26</v>
      </c>
      <c r="K299" s="73" t="s">
        <v>78</v>
      </c>
      <c r="L299" s="73" t="s">
        <v>209</v>
      </c>
      <c r="M299" s="73"/>
      <c r="N299" s="73"/>
    </row>
    <row r="300" spans="1:14" x14ac:dyDescent="0.25">
      <c r="A300" s="73" t="s">
        <v>206</v>
      </c>
      <c r="B300" s="73" t="s">
        <v>210</v>
      </c>
      <c r="C300" s="73" t="s">
        <v>23</v>
      </c>
      <c r="D300" s="73" t="str">
        <f>_xlfn.CONCAT(Tableau3[[#This Row],[N.Star]]," ",Tableau3[[#This Row],[Const.]])</f>
        <v>W Gem</v>
      </c>
      <c r="E300" s="100">
        <v>43578.38</v>
      </c>
      <c r="F300" s="100">
        <f>Tableau3[[#This Row],[ToM(+2400000)]]+2400000</f>
        <v>2443578.38</v>
      </c>
      <c r="G300" s="101">
        <v>0.2</v>
      </c>
      <c r="H300" s="102" t="s">
        <v>24</v>
      </c>
      <c r="I300" s="73" t="s">
        <v>100</v>
      </c>
      <c r="J300" s="73" t="s">
        <v>26</v>
      </c>
      <c r="K300" s="73" t="s">
        <v>49</v>
      </c>
      <c r="L300" s="73" t="s">
        <v>176</v>
      </c>
      <c r="M300" s="73"/>
      <c r="N300" s="73"/>
    </row>
    <row r="301" spans="1:14" x14ac:dyDescent="0.25">
      <c r="A301" s="73" t="s">
        <v>206</v>
      </c>
      <c r="B301" s="73" t="s">
        <v>210</v>
      </c>
      <c r="C301" s="73" t="s">
        <v>23</v>
      </c>
      <c r="D301" s="73" t="str">
        <f>_xlfn.CONCAT(Tableau3[[#This Row],[N.Star]]," ",Tableau3[[#This Row],[Const.]])</f>
        <v>W Gem</v>
      </c>
      <c r="E301" s="100">
        <v>43578.6</v>
      </c>
      <c r="F301" s="100">
        <f>Tableau3[[#This Row],[ToM(+2400000)]]+2400000</f>
        <v>2443578.6</v>
      </c>
      <c r="G301" s="101">
        <v>0.1</v>
      </c>
      <c r="H301" s="102" t="s">
        <v>24</v>
      </c>
      <c r="I301" s="73" t="s">
        <v>100</v>
      </c>
      <c r="J301" s="73" t="s">
        <v>26</v>
      </c>
      <c r="K301" s="73" t="s">
        <v>78</v>
      </c>
      <c r="L301" s="73" t="s">
        <v>209</v>
      </c>
      <c r="M301" s="73"/>
      <c r="N301" s="73"/>
    </row>
    <row r="302" spans="1:14" x14ac:dyDescent="0.25">
      <c r="A302" s="73" t="s">
        <v>206</v>
      </c>
      <c r="B302" s="73" t="s">
        <v>210</v>
      </c>
      <c r="C302" s="73" t="s">
        <v>23</v>
      </c>
      <c r="D302" s="73" t="str">
        <f>_xlfn.CONCAT(Tableau3[[#This Row],[N.Star]]," ",Tableau3[[#This Row],[Const.]])</f>
        <v>W Gem</v>
      </c>
      <c r="E302" s="100">
        <v>43894.400000000001</v>
      </c>
      <c r="F302" s="100">
        <f>Tableau3[[#This Row],[ToM(+2400000)]]+2400000</f>
        <v>2443894.4</v>
      </c>
      <c r="G302" s="101">
        <v>0.15</v>
      </c>
      <c r="H302" s="102" t="s">
        <v>24</v>
      </c>
      <c r="I302" s="73" t="s">
        <v>213</v>
      </c>
      <c r="J302" s="73" t="s">
        <v>26</v>
      </c>
      <c r="K302" s="73" t="s">
        <v>27</v>
      </c>
      <c r="L302" s="73" t="s">
        <v>27</v>
      </c>
      <c r="M302" s="73"/>
      <c r="N302" s="73"/>
    </row>
    <row r="303" spans="1:14" x14ac:dyDescent="0.25">
      <c r="A303" s="73" t="s">
        <v>206</v>
      </c>
      <c r="B303" s="73" t="s">
        <v>210</v>
      </c>
      <c r="C303" s="73" t="s">
        <v>23</v>
      </c>
      <c r="D303" s="73" t="str">
        <f>_xlfn.CONCAT(Tableau3[[#This Row],[N.Star]]," ",Tableau3[[#This Row],[Const.]])</f>
        <v>W Gem</v>
      </c>
      <c r="E303" s="100">
        <v>43903.21</v>
      </c>
      <c r="F303" s="100">
        <f>Tableau3[[#This Row],[ToM(+2400000)]]+2400000</f>
        <v>2443903.21</v>
      </c>
      <c r="G303" s="101">
        <v>0.1</v>
      </c>
      <c r="H303" s="102" t="s">
        <v>24</v>
      </c>
      <c r="I303" s="73" t="s">
        <v>214</v>
      </c>
      <c r="J303" s="73" t="s">
        <v>26</v>
      </c>
      <c r="K303" s="73" t="s">
        <v>78</v>
      </c>
      <c r="L303" s="73" t="s">
        <v>209</v>
      </c>
      <c r="M303" s="73"/>
      <c r="N303" s="73"/>
    </row>
    <row r="304" spans="1:14" x14ac:dyDescent="0.25">
      <c r="A304" s="73" t="s">
        <v>206</v>
      </c>
      <c r="B304" s="73" t="s">
        <v>210</v>
      </c>
      <c r="C304" s="73" t="s">
        <v>23</v>
      </c>
      <c r="D304" s="73" t="str">
        <f>_xlfn.CONCAT(Tableau3[[#This Row],[N.Star]]," ",Tableau3[[#This Row],[Const.]])</f>
        <v>W Gem</v>
      </c>
      <c r="E304" s="100">
        <v>43926.62</v>
      </c>
      <c r="F304" s="100">
        <f>Tableau3[[#This Row],[ToM(+2400000)]]+2400000</f>
        <v>2443926.62</v>
      </c>
      <c r="G304" s="101">
        <v>0.2</v>
      </c>
      <c r="H304" s="102" t="s">
        <v>24</v>
      </c>
      <c r="I304" s="73" t="s">
        <v>100</v>
      </c>
      <c r="J304" s="73" t="s">
        <v>26</v>
      </c>
      <c r="K304" s="73" t="s">
        <v>106</v>
      </c>
      <c r="L304" s="73" t="s">
        <v>107</v>
      </c>
      <c r="M304" s="73"/>
      <c r="N304" s="73"/>
    </row>
    <row r="305" spans="1:14" x14ac:dyDescent="0.25">
      <c r="A305" s="73" t="s">
        <v>206</v>
      </c>
      <c r="B305" s="73" t="s">
        <v>210</v>
      </c>
      <c r="C305" s="73" t="s">
        <v>23</v>
      </c>
      <c r="D305" s="73" t="str">
        <f>_xlfn.CONCAT(Tableau3[[#This Row],[N.Star]]," ",Tableau3[[#This Row],[Const.]])</f>
        <v>W Gem</v>
      </c>
      <c r="E305" s="100">
        <v>44235.05</v>
      </c>
      <c r="F305" s="100">
        <f>Tableau3[[#This Row],[ToM(+2400000)]]+2400000</f>
        <v>2444235.0499999998</v>
      </c>
      <c r="G305" s="101">
        <v>0.1</v>
      </c>
      <c r="H305" s="102" t="s">
        <v>24</v>
      </c>
      <c r="I305" s="73" t="s">
        <v>108</v>
      </c>
      <c r="J305" s="73" t="s">
        <v>26</v>
      </c>
      <c r="K305" s="73" t="s">
        <v>78</v>
      </c>
      <c r="L305" s="73" t="s">
        <v>209</v>
      </c>
      <c r="M305" s="73"/>
      <c r="N305" s="73"/>
    </row>
    <row r="306" spans="1:14" x14ac:dyDescent="0.25">
      <c r="A306" s="73" t="s">
        <v>206</v>
      </c>
      <c r="B306" s="73" t="s">
        <v>210</v>
      </c>
      <c r="C306" s="73" t="s">
        <v>23</v>
      </c>
      <c r="D306" s="73" t="str">
        <f>_xlfn.CONCAT(Tableau3[[#This Row],[N.Star]]," ",Tableau3[[#This Row],[Const.]])</f>
        <v>W Gem</v>
      </c>
      <c r="E306" s="100">
        <v>44496.696000000004</v>
      </c>
      <c r="F306" s="100">
        <f>Tableau3[[#This Row],[ToM(+2400000)]]+2400000</f>
        <v>2444496.696</v>
      </c>
      <c r="G306" s="101">
        <v>0.1</v>
      </c>
      <c r="H306" s="102" t="s">
        <v>24</v>
      </c>
      <c r="I306" s="73" t="s">
        <v>25</v>
      </c>
      <c r="J306" s="73" t="s">
        <v>26</v>
      </c>
      <c r="K306" s="73" t="s">
        <v>27</v>
      </c>
      <c r="L306" s="73" t="s">
        <v>27</v>
      </c>
      <c r="M306" s="73"/>
      <c r="N306" s="73"/>
    </row>
    <row r="307" spans="1:14" x14ac:dyDescent="0.25">
      <c r="A307" s="73" t="s">
        <v>206</v>
      </c>
      <c r="B307" s="73" t="s">
        <v>210</v>
      </c>
      <c r="C307" s="73" t="s">
        <v>23</v>
      </c>
      <c r="D307" s="73" t="str">
        <f>_xlfn.CONCAT(Tableau3[[#This Row],[N.Star]]," ",Tableau3[[#This Row],[Const.]])</f>
        <v>W Gem</v>
      </c>
      <c r="E307" s="100">
        <v>44496.7</v>
      </c>
      <c r="F307" s="100">
        <f>Tableau3[[#This Row],[ToM(+2400000)]]+2400000</f>
        <v>2444496.7000000002</v>
      </c>
      <c r="G307" s="101">
        <v>0.1</v>
      </c>
      <c r="H307" s="102" t="s">
        <v>24</v>
      </c>
      <c r="I307" s="73" t="s">
        <v>25</v>
      </c>
      <c r="J307" s="73" t="s">
        <v>26</v>
      </c>
      <c r="K307" s="73" t="s">
        <v>78</v>
      </c>
      <c r="L307" s="73" t="s">
        <v>209</v>
      </c>
      <c r="M307" s="73"/>
      <c r="N307" s="73"/>
    </row>
    <row r="308" spans="1:14" x14ac:dyDescent="0.25">
      <c r="A308" s="73" t="s">
        <v>206</v>
      </c>
      <c r="B308" s="73" t="s">
        <v>210</v>
      </c>
      <c r="C308" s="73" t="s">
        <v>23</v>
      </c>
      <c r="D308" s="73" t="str">
        <f>_xlfn.CONCAT(Tableau3[[#This Row],[N.Star]]," ",Tableau3[[#This Row],[Const.]])</f>
        <v>W Gem</v>
      </c>
      <c r="E308" s="100">
        <v>44615.25</v>
      </c>
      <c r="F308" s="100">
        <f>Tableau3[[#This Row],[ToM(+2400000)]]+2400000</f>
        <v>2444615.25</v>
      </c>
      <c r="G308" s="101">
        <v>0.1</v>
      </c>
      <c r="H308" s="102" t="s">
        <v>24</v>
      </c>
      <c r="I308" s="73" t="s">
        <v>215</v>
      </c>
      <c r="J308" s="73" t="s">
        <v>26</v>
      </c>
      <c r="K308" s="73" t="s">
        <v>78</v>
      </c>
      <c r="L308" s="73" t="s">
        <v>209</v>
      </c>
      <c r="M308" s="73"/>
      <c r="N308" s="73"/>
    </row>
    <row r="309" spans="1:14" x14ac:dyDescent="0.25">
      <c r="A309" s="73" t="s">
        <v>206</v>
      </c>
      <c r="B309" s="73" t="s">
        <v>210</v>
      </c>
      <c r="C309" s="73" t="s">
        <v>23</v>
      </c>
      <c r="D309" s="73" t="str">
        <f>_xlfn.CONCAT(Tableau3[[#This Row],[N.Star]]," ",Tableau3[[#This Row],[Const.]])</f>
        <v>W Gem</v>
      </c>
      <c r="E309" s="100">
        <v>44702.42</v>
      </c>
      <c r="F309" s="100">
        <f>Tableau3[[#This Row],[ToM(+2400000)]]+2400000</f>
        <v>2444702.42</v>
      </c>
      <c r="G309" s="101">
        <v>0.1</v>
      </c>
      <c r="H309" s="102" t="s">
        <v>24</v>
      </c>
      <c r="I309" s="73" t="s">
        <v>25</v>
      </c>
      <c r="J309" s="73" t="s">
        <v>26</v>
      </c>
      <c r="K309" s="73" t="s">
        <v>27</v>
      </c>
      <c r="L309" s="73" t="s">
        <v>27</v>
      </c>
      <c r="M309" s="73"/>
      <c r="N309" s="73"/>
    </row>
    <row r="310" spans="1:14" x14ac:dyDescent="0.25">
      <c r="A310" s="73" t="s">
        <v>206</v>
      </c>
      <c r="B310" s="73" t="s">
        <v>210</v>
      </c>
      <c r="C310" s="73" t="s">
        <v>23</v>
      </c>
      <c r="D310" s="73" t="str">
        <f>_xlfn.CONCAT(Tableau3[[#This Row],[N.Star]]," ",Tableau3[[#This Row],[Const.]])</f>
        <v>W Gem</v>
      </c>
      <c r="E310" s="100">
        <v>44718.04</v>
      </c>
      <c r="F310" s="100">
        <f>Tableau3[[#This Row],[ToM(+2400000)]]+2400000</f>
        <v>2444718.04</v>
      </c>
      <c r="G310" s="101">
        <v>0.1</v>
      </c>
      <c r="H310" s="102" t="s">
        <v>24</v>
      </c>
      <c r="I310" s="73" t="s">
        <v>110</v>
      </c>
      <c r="J310" s="73" t="s">
        <v>26</v>
      </c>
      <c r="K310" s="73" t="s">
        <v>78</v>
      </c>
      <c r="L310" s="73" t="s">
        <v>209</v>
      </c>
      <c r="M310" s="73"/>
      <c r="N310" s="73"/>
    </row>
    <row r="311" spans="1:14" x14ac:dyDescent="0.25">
      <c r="A311" s="73" t="s">
        <v>206</v>
      </c>
      <c r="B311" s="73" t="s">
        <v>210</v>
      </c>
      <c r="C311" s="73" t="s">
        <v>23</v>
      </c>
      <c r="D311" s="73" t="str">
        <f>_xlfn.CONCAT(Tableau3[[#This Row],[N.Star]]," ",Tableau3[[#This Row],[Const.]])</f>
        <v>W Gem</v>
      </c>
      <c r="E311" s="100">
        <v>45232.045599999998</v>
      </c>
      <c r="F311" s="100">
        <f>Tableau3[[#This Row],[ToM(+2400000)]]+2400000</f>
        <v>2445232.0455999998</v>
      </c>
      <c r="G311" s="101">
        <v>0.1</v>
      </c>
      <c r="H311" s="73" t="s">
        <v>24</v>
      </c>
      <c r="I311" s="73" t="s">
        <v>208</v>
      </c>
      <c r="J311" s="73" t="s">
        <v>26</v>
      </c>
      <c r="K311" s="73" t="s">
        <v>216</v>
      </c>
      <c r="L311" s="73" t="s">
        <v>27</v>
      </c>
      <c r="M311" s="73"/>
      <c r="N311" s="73" t="s">
        <v>39</v>
      </c>
    </row>
    <row r="312" spans="1:14" x14ac:dyDescent="0.25">
      <c r="A312" s="73" t="s">
        <v>206</v>
      </c>
      <c r="B312" s="73" t="s">
        <v>210</v>
      </c>
      <c r="C312" s="73" t="s">
        <v>23</v>
      </c>
      <c r="D312" s="73" t="str">
        <f>_xlfn.CONCAT(Tableau3[[#This Row],[N.Star]]," ",Tableau3[[#This Row],[Const.]])</f>
        <v>W Gem</v>
      </c>
      <c r="E312" s="100">
        <v>47163.1659</v>
      </c>
      <c r="F312" s="100">
        <f>Tableau3[[#This Row],[ToM(+2400000)]]+2400000</f>
        <v>2447163.1658999999</v>
      </c>
      <c r="G312" s="101">
        <v>0.1</v>
      </c>
      <c r="H312" s="73" t="s">
        <v>24</v>
      </c>
      <c r="I312" s="73" t="s">
        <v>208</v>
      </c>
      <c r="J312" s="73" t="s">
        <v>26</v>
      </c>
      <c r="K312" s="73" t="s">
        <v>216</v>
      </c>
      <c r="L312" s="73" t="s">
        <v>27</v>
      </c>
      <c r="M312" s="73"/>
      <c r="N312" s="73" t="s">
        <v>39</v>
      </c>
    </row>
    <row r="313" spans="1:14" x14ac:dyDescent="0.25">
      <c r="A313" s="73" t="s">
        <v>206</v>
      </c>
      <c r="B313" s="73" t="s">
        <v>210</v>
      </c>
      <c r="C313" s="73" t="s">
        <v>23</v>
      </c>
      <c r="D313" s="73" t="str">
        <f>_xlfn.CONCAT(Tableau3[[#This Row],[N.Star]]," ",Tableau3[[#This Row],[Const.]])</f>
        <v>W Gem</v>
      </c>
      <c r="E313" s="100">
        <v>48824.9</v>
      </c>
      <c r="F313" s="100">
        <f>Tableau3[[#This Row],[ToM(+2400000)]]+2400000</f>
        <v>2448824.9</v>
      </c>
      <c r="G313" s="101">
        <v>0.08</v>
      </c>
      <c r="H313" s="102" t="s">
        <v>24</v>
      </c>
      <c r="I313" s="73" t="s">
        <v>217</v>
      </c>
      <c r="J313" s="73" t="s">
        <v>26</v>
      </c>
      <c r="K313" s="73" t="s">
        <v>57</v>
      </c>
      <c r="L313" s="73" t="s">
        <v>150</v>
      </c>
      <c r="M313" s="73"/>
      <c r="N313" s="73"/>
    </row>
    <row r="314" spans="1:14" x14ac:dyDescent="0.25">
      <c r="A314" s="73" t="s">
        <v>206</v>
      </c>
      <c r="B314" s="73" t="s">
        <v>210</v>
      </c>
      <c r="C314" s="73" t="s">
        <v>23</v>
      </c>
      <c r="D314" s="73" t="str">
        <f>_xlfn.CONCAT(Tableau3[[#This Row],[N.Star]]," ",Tableau3[[#This Row],[Const.]])</f>
        <v>W Gem</v>
      </c>
      <c r="E314" s="100">
        <v>54997.03</v>
      </c>
      <c r="F314" s="100">
        <f>Tableau3[[#This Row],[ToM(+2400000)]]+2400000</f>
        <v>2454997.0299999998</v>
      </c>
      <c r="G314" s="101">
        <v>0.1</v>
      </c>
      <c r="H314" s="73" t="s">
        <v>24</v>
      </c>
      <c r="I314" s="73" t="s">
        <v>208</v>
      </c>
      <c r="J314" s="73" t="s">
        <v>26</v>
      </c>
      <c r="K314" s="73" t="s">
        <v>216</v>
      </c>
      <c r="L314" s="73" t="s">
        <v>27</v>
      </c>
      <c r="M314" s="73"/>
      <c r="N314" s="73" t="s">
        <v>39</v>
      </c>
    </row>
    <row r="315" spans="1:14" x14ac:dyDescent="0.25">
      <c r="A315" s="73" t="s">
        <v>206</v>
      </c>
      <c r="B315" s="73" t="s">
        <v>210</v>
      </c>
      <c r="C315" s="73" t="s">
        <v>23</v>
      </c>
      <c r="D315" s="73" t="str">
        <f>_xlfn.CONCAT(Tableau3[[#This Row],[N.Star]]," ",Tableau3[[#This Row],[Const.]])</f>
        <v>W Gem</v>
      </c>
      <c r="E315" s="100">
        <v>57410.43</v>
      </c>
      <c r="F315" s="100">
        <f>Tableau3[[#This Row],[ToM(+2400000)]]+2400000</f>
        <v>2457410.4300000002</v>
      </c>
      <c r="G315" s="101">
        <v>0.1</v>
      </c>
      <c r="H315" s="73" t="s">
        <v>24</v>
      </c>
      <c r="I315" s="73" t="s">
        <v>208</v>
      </c>
      <c r="J315" s="73" t="s">
        <v>26</v>
      </c>
      <c r="K315" s="73" t="s">
        <v>216</v>
      </c>
      <c r="L315" s="73" t="s">
        <v>27</v>
      </c>
      <c r="M315" s="73"/>
      <c r="N315" s="73" t="s">
        <v>39</v>
      </c>
    </row>
    <row r="316" spans="1:14" x14ac:dyDescent="0.25">
      <c r="A316" s="73" t="s">
        <v>206</v>
      </c>
      <c r="B316" s="73" t="s">
        <v>210</v>
      </c>
      <c r="C316" s="73" t="s">
        <v>23</v>
      </c>
      <c r="D316" s="73" t="str">
        <f>_xlfn.CONCAT(Tableau3[[#This Row],[N.Star]]," ",Tableau3[[#This Row],[Const.]])</f>
        <v>W Gem</v>
      </c>
      <c r="E316" s="100">
        <v>59570.86</v>
      </c>
      <c r="F316" s="100">
        <f>Tableau3[[#This Row],[ToM(+2400000)]]+2400000</f>
        <v>2459570.86</v>
      </c>
      <c r="G316" s="101">
        <v>0.25</v>
      </c>
      <c r="H316" s="102" t="s">
        <v>24</v>
      </c>
      <c r="I316" s="73" t="s">
        <v>122</v>
      </c>
      <c r="J316" s="73" t="s">
        <v>26</v>
      </c>
      <c r="K316" s="73" t="s">
        <v>99</v>
      </c>
      <c r="L316" s="73" t="s">
        <v>27</v>
      </c>
      <c r="M316" s="73"/>
      <c r="N316" s="73" t="s">
        <v>218</v>
      </c>
    </row>
    <row r="317" spans="1:14" x14ac:dyDescent="0.25">
      <c r="A317" s="73" t="s">
        <v>206</v>
      </c>
      <c r="B317" s="73" t="s">
        <v>210</v>
      </c>
      <c r="C317" s="73" t="s">
        <v>23</v>
      </c>
      <c r="D317" s="73" t="str">
        <f>_xlfn.CONCAT(Tableau3[[#This Row],[N.Star]]," ",Tableau3[[#This Row],[Const.]])</f>
        <v>W Gem</v>
      </c>
      <c r="E317" s="100">
        <v>59618.07</v>
      </c>
      <c r="F317" s="100">
        <f>Tableau3[[#This Row],[ToM(+2400000)]]+2400000</f>
        <v>2459618.0699999998</v>
      </c>
      <c r="G317" s="101">
        <v>0.1</v>
      </c>
      <c r="H317" s="73" t="s">
        <v>24</v>
      </c>
      <c r="I317" s="73" t="s">
        <v>208</v>
      </c>
      <c r="J317" s="73" t="s">
        <v>26</v>
      </c>
      <c r="K317" s="73" t="s">
        <v>216</v>
      </c>
      <c r="L317" s="73" t="s">
        <v>27</v>
      </c>
      <c r="M317" s="73"/>
      <c r="N317" s="73" t="s">
        <v>39</v>
      </c>
    </row>
    <row r="318" spans="1:14" x14ac:dyDescent="0.25">
      <c r="A318" s="73" t="s">
        <v>206</v>
      </c>
      <c r="B318" s="73" t="s">
        <v>210</v>
      </c>
      <c r="C318" s="73" t="s">
        <v>23</v>
      </c>
      <c r="D318" s="73" t="str">
        <f>_xlfn.CONCAT(Tableau3[[#This Row],[N.Star]]," ",Tableau3[[#This Row],[Const.]])</f>
        <v>W Gem</v>
      </c>
      <c r="E318" s="100">
        <v>59633.540999999997</v>
      </c>
      <c r="F318" s="100">
        <f>Tableau3[[#This Row],[ToM(+2400000)]]+2400000</f>
        <v>2459633.5410000002</v>
      </c>
      <c r="G318" s="101">
        <v>0.15</v>
      </c>
      <c r="H318" s="102" t="s">
        <v>24</v>
      </c>
      <c r="I318" s="73" t="s">
        <v>25</v>
      </c>
      <c r="J318" s="73" t="s">
        <v>26</v>
      </c>
      <c r="K318" s="73" t="s">
        <v>27</v>
      </c>
      <c r="L318" s="73" t="s">
        <v>27</v>
      </c>
      <c r="M318" s="73"/>
      <c r="N318" s="73" t="s">
        <v>39</v>
      </c>
    </row>
    <row r="319" spans="1:14" x14ac:dyDescent="0.25">
      <c r="A319" s="73" t="s">
        <v>206</v>
      </c>
      <c r="B319" s="73" t="s">
        <v>210</v>
      </c>
      <c r="C319" s="73" t="s">
        <v>23</v>
      </c>
      <c r="D319" s="73" t="str">
        <f>_xlfn.CONCAT(Tableau3[[#This Row],[N.Star]]," ",Tableau3[[#This Row],[Const.]])</f>
        <v>W Gem</v>
      </c>
      <c r="E319" s="100">
        <v>59871.508000000002</v>
      </c>
      <c r="F319" s="100">
        <f>Tableau3[[#This Row],[ToM(+2400000)]]+2400000</f>
        <v>2459871.5079999999</v>
      </c>
      <c r="G319" s="101">
        <v>0.15</v>
      </c>
      <c r="H319" s="102" t="s">
        <v>24</v>
      </c>
      <c r="I319" s="73" t="s">
        <v>211</v>
      </c>
      <c r="J319" s="73" t="s">
        <v>26</v>
      </c>
      <c r="K319" s="73" t="s">
        <v>27</v>
      </c>
      <c r="L319" s="73" t="s">
        <v>27</v>
      </c>
      <c r="M319" s="73"/>
      <c r="N319" s="73" t="s">
        <v>39</v>
      </c>
    </row>
    <row r="320" spans="1:14" x14ac:dyDescent="0.25">
      <c r="A320" s="73" t="s">
        <v>206</v>
      </c>
      <c r="B320" s="73" t="s">
        <v>210</v>
      </c>
      <c r="C320" s="73" t="s">
        <v>23</v>
      </c>
      <c r="D320" s="73" t="str">
        <f>_xlfn.CONCAT(Tableau3[[#This Row],[N.Star]]," ",Tableau3[[#This Row],[Const.]])</f>
        <v>W Gem</v>
      </c>
      <c r="E320" s="100">
        <v>59918.665000000001</v>
      </c>
      <c r="F320" s="100">
        <f>Tableau3[[#This Row],[ToM(+2400000)]]+2400000</f>
        <v>2459918.665</v>
      </c>
      <c r="G320" s="101">
        <v>1.1499999999999999</v>
      </c>
      <c r="H320" s="102" t="s">
        <v>24</v>
      </c>
      <c r="I320" s="73" t="s">
        <v>122</v>
      </c>
      <c r="J320" s="73" t="s">
        <v>26</v>
      </c>
      <c r="K320" s="73" t="s">
        <v>27</v>
      </c>
      <c r="L320" s="73" t="s">
        <v>27</v>
      </c>
      <c r="M320" s="73"/>
      <c r="N320" s="73"/>
    </row>
    <row r="321" spans="1:14" x14ac:dyDescent="0.25">
      <c r="A321" s="73" t="s">
        <v>206</v>
      </c>
      <c r="B321" s="73" t="s">
        <v>210</v>
      </c>
      <c r="C321" s="73" t="s">
        <v>23</v>
      </c>
      <c r="D321" s="73" t="str">
        <f>_xlfn.CONCAT(Tableau3[[#This Row],[N.Star]]," ",Tableau3[[#This Row],[Const.]])</f>
        <v>W Gem</v>
      </c>
      <c r="E321" s="100">
        <v>59966.788999999997</v>
      </c>
      <c r="F321" s="100">
        <f>Tableau3[[#This Row],[ToM(+2400000)]]+2400000</f>
        <v>2459966.7889999999</v>
      </c>
      <c r="G321" s="101">
        <v>2.15</v>
      </c>
      <c r="H321" s="102" t="s">
        <v>24</v>
      </c>
      <c r="I321" s="73" t="s">
        <v>122</v>
      </c>
      <c r="J321" s="73" t="s">
        <v>26</v>
      </c>
      <c r="K321" s="73" t="s">
        <v>27</v>
      </c>
      <c r="L321" s="73" t="s">
        <v>27</v>
      </c>
      <c r="M321" s="73"/>
      <c r="N321" s="73"/>
    </row>
    <row r="322" spans="1:14" x14ac:dyDescent="0.25">
      <c r="A322" s="73" t="s">
        <v>206</v>
      </c>
      <c r="B322" s="73" t="s">
        <v>210</v>
      </c>
      <c r="C322" s="73" t="s">
        <v>23</v>
      </c>
      <c r="D322" s="73" t="str">
        <f>_xlfn.CONCAT(Tableau3[[#This Row],[N.Star]]," ",Tableau3[[#This Row],[Const.]])</f>
        <v>W Gem</v>
      </c>
      <c r="E322" s="100">
        <v>59974.23</v>
      </c>
      <c r="F322" s="100">
        <f>Tableau3[[#This Row],[ToM(+2400000)]]+2400000</f>
        <v>2459974.23</v>
      </c>
      <c r="G322" s="101">
        <v>0.15</v>
      </c>
      <c r="H322" s="102" t="s">
        <v>24</v>
      </c>
      <c r="I322" s="73" t="s">
        <v>25</v>
      </c>
      <c r="J322" s="73" t="s">
        <v>26</v>
      </c>
      <c r="K322" s="73" t="s">
        <v>27</v>
      </c>
      <c r="L322" s="73" t="s">
        <v>27</v>
      </c>
      <c r="M322" s="73"/>
      <c r="N322" s="73" t="s">
        <v>39</v>
      </c>
    </row>
    <row r="323" spans="1:14" x14ac:dyDescent="0.25">
      <c r="A323" s="73" t="s">
        <v>206</v>
      </c>
      <c r="B323" s="73" t="s">
        <v>210</v>
      </c>
      <c r="C323" s="73" t="s">
        <v>23</v>
      </c>
      <c r="D323" s="73" t="str">
        <f>_xlfn.CONCAT(Tableau3[[#This Row],[N.Star]]," ",Tableau3[[#This Row],[Const.]])</f>
        <v>W Gem</v>
      </c>
      <c r="E323" s="100">
        <v>60290.463000000003</v>
      </c>
      <c r="F323" s="100">
        <f>Tableau3[[#This Row],[ToM(+2400000)]]+2400000</f>
        <v>2460290.463</v>
      </c>
      <c r="G323" s="101">
        <v>0.1</v>
      </c>
      <c r="H323" s="73" t="s">
        <v>24</v>
      </c>
      <c r="I323" s="73" t="s">
        <v>122</v>
      </c>
      <c r="J323" s="73" t="s">
        <v>26</v>
      </c>
      <c r="K323" s="73" t="s">
        <v>216</v>
      </c>
      <c r="L323" s="73" t="s">
        <v>27</v>
      </c>
      <c r="M323" s="73"/>
      <c r="N323" s="73" t="s">
        <v>39</v>
      </c>
    </row>
    <row r="324" spans="1:14" x14ac:dyDescent="0.25">
      <c r="A324" s="73" t="s">
        <v>206</v>
      </c>
      <c r="B324" s="73" t="s">
        <v>210</v>
      </c>
      <c r="C324" s="73" t="s">
        <v>23</v>
      </c>
      <c r="D324" s="73" t="str">
        <f>_xlfn.CONCAT(Tableau3[[#This Row],[N.Star]]," ",Tableau3[[#This Row],[Const.]])</f>
        <v>W Gem</v>
      </c>
      <c r="E324" s="100">
        <v>60377.673000000003</v>
      </c>
      <c r="F324" s="100">
        <f>Tableau3[[#This Row],[ToM(+2400000)]]+2400000</f>
        <v>2460377.673</v>
      </c>
      <c r="G324" s="101">
        <v>0.1</v>
      </c>
      <c r="H324" s="73" t="s">
        <v>24</v>
      </c>
      <c r="I324" s="73" t="s">
        <v>122</v>
      </c>
      <c r="J324" s="73" t="s">
        <v>26</v>
      </c>
      <c r="K324" s="73" t="s">
        <v>216</v>
      </c>
      <c r="L324" s="73" t="s">
        <v>27</v>
      </c>
      <c r="M324" s="73"/>
      <c r="N324" s="73" t="s">
        <v>39</v>
      </c>
    </row>
    <row r="325" spans="1:14" x14ac:dyDescent="0.25">
      <c r="A325" s="73" t="s">
        <v>212</v>
      </c>
      <c r="B325" s="73" t="s">
        <v>210</v>
      </c>
      <c r="C325" s="73" t="s">
        <v>23</v>
      </c>
      <c r="D325" s="73" t="str">
        <f>_xlfn.CONCAT(Tableau3[[#This Row],[N.Star]]," ",Tableau3[[#This Row],[Const.]])</f>
        <v xml:space="preserve">W Gem </v>
      </c>
      <c r="E325" s="100">
        <v>43570.705999999998</v>
      </c>
      <c r="F325" s="100">
        <f>Tableau3[[#This Row],[ToM(+2400000)]]+2400000</f>
        <v>2443570.7059999998</v>
      </c>
      <c r="G325" s="101">
        <v>0.1</v>
      </c>
      <c r="H325" s="102" t="s">
        <v>24</v>
      </c>
      <c r="I325" s="73" t="s">
        <v>103</v>
      </c>
      <c r="J325" s="73" t="s">
        <v>26</v>
      </c>
      <c r="K325" s="73" t="s">
        <v>27</v>
      </c>
      <c r="L325" s="73" t="s">
        <v>27</v>
      </c>
      <c r="M325" s="73"/>
      <c r="N325" s="73"/>
    </row>
    <row r="326" spans="1:14" x14ac:dyDescent="0.25">
      <c r="A326" t="s">
        <v>219</v>
      </c>
      <c r="B326" t="s">
        <v>220</v>
      </c>
      <c r="C326" t="s">
        <v>23</v>
      </c>
      <c r="D326" t="str">
        <f>_xlfn.CONCAT(Tableau3[[#This Row],[N.Star]]," ",Tableau3[[#This Row],[Const.]])</f>
        <v>BB Her</v>
      </c>
      <c r="E326" s="8">
        <v>43017.195</v>
      </c>
      <c r="F326" s="8">
        <f>Tableau3[[#This Row],[ToM(+2400000)]]+2400000</f>
        <v>2443017.1949999998</v>
      </c>
      <c r="G326" s="34">
        <v>0.15</v>
      </c>
      <c r="H326" s="3" t="s">
        <v>24</v>
      </c>
      <c r="I326" t="s">
        <v>80</v>
      </c>
      <c r="J326" t="s">
        <v>26</v>
      </c>
      <c r="K326" t="s">
        <v>40</v>
      </c>
      <c r="L326" t="s">
        <v>41</v>
      </c>
    </row>
    <row r="327" spans="1:14" x14ac:dyDescent="0.25">
      <c r="A327" t="s">
        <v>219</v>
      </c>
      <c r="B327" t="s">
        <v>221</v>
      </c>
      <c r="C327" t="s">
        <v>23</v>
      </c>
      <c r="D327" t="str">
        <f>_xlfn.CONCAT(Tableau3[[#This Row],[N.Star]]," ",Tableau3[[#This Row],[Const.]])</f>
        <v>BL Her</v>
      </c>
      <c r="E327" s="8">
        <v>42994.446000000004</v>
      </c>
      <c r="F327" s="8">
        <f>Tableau3[[#This Row],[ToM(+2400000)]]+2400000</f>
        <v>2442994.446</v>
      </c>
      <c r="G327" s="34">
        <v>0.15</v>
      </c>
      <c r="H327" s="3" t="s">
        <v>24</v>
      </c>
      <c r="I327" t="s">
        <v>80</v>
      </c>
      <c r="J327" t="s">
        <v>26</v>
      </c>
      <c r="K327" t="s">
        <v>40</v>
      </c>
      <c r="L327" t="s">
        <v>41</v>
      </c>
    </row>
    <row r="328" spans="1:14" x14ac:dyDescent="0.25">
      <c r="A328" t="s">
        <v>219</v>
      </c>
      <c r="B328" t="s">
        <v>221</v>
      </c>
      <c r="C328" t="s">
        <v>23</v>
      </c>
      <c r="D328" t="str">
        <f>_xlfn.CONCAT(Tableau3[[#This Row],[N.Star]]," ",Tableau3[[#This Row],[Const.]])</f>
        <v>BL Her</v>
      </c>
      <c r="E328" s="8">
        <v>43680.959999999999</v>
      </c>
      <c r="F328" s="8">
        <f>Tableau3[[#This Row],[ToM(+2400000)]]+2400000</f>
        <v>2443680.96</v>
      </c>
      <c r="G328" s="34">
        <v>0.1</v>
      </c>
      <c r="H328" s="3" t="s">
        <v>24</v>
      </c>
      <c r="I328" t="s">
        <v>66</v>
      </c>
      <c r="J328" t="s">
        <v>26</v>
      </c>
      <c r="K328" t="s">
        <v>78</v>
      </c>
      <c r="L328" t="s">
        <v>209</v>
      </c>
    </row>
    <row r="329" spans="1:14" x14ac:dyDescent="0.25">
      <c r="A329" t="s">
        <v>219</v>
      </c>
      <c r="B329" t="s">
        <v>221</v>
      </c>
      <c r="C329" t="s">
        <v>23</v>
      </c>
      <c r="D329" t="str">
        <f>_xlfn.CONCAT(Tableau3[[#This Row],[N.Star]]," ",Tableau3[[#This Row],[Const.]])</f>
        <v>BL Her</v>
      </c>
      <c r="E329" s="8">
        <v>45553.262000000002</v>
      </c>
      <c r="F329" s="8">
        <f>Tableau3[[#This Row],[ToM(+2400000)]]+2400000</f>
        <v>2445553.2620000001</v>
      </c>
      <c r="G329" s="34">
        <v>0.4</v>
      </c>
      <c r="H329" s="3" t="s">
        <v>24</v>
      </c>
      <c r="I329" t="s">
        <v>25</v>
      </c>
      <c r="J329" t="s">
        <v>26</v>
      </c>
      <c r="K329" t="s">
        <v>27</v>
      </c>
      <c r="L329" t="s">
        <v>27</v>
      </c>
      <c r="N329" t="s">
        <v>39</v>
      </c>
    </row>
    <row r="330" spans="1:14" x14ac:dyDescent="0.25">
      <c r="A330" t="s">
        <v>222</v>
      </c>
      <c r="B330" t="s">
        <v>223</v>
      </c>
      <c r="C330" t="s">
        <v>23</v>
      </c>
      <c r="D330" t="str">
        <f>_xlfn.CONCAT(Tableau3[[#This Row],[N.Star]]," ",Tableau3[[#This Row],[Const.]])</f>
        <v>RR Lac</v>
      </c>
      <c r="E330" s="8">
        <v>43411.9</v>
      </c>
      <c r="F330" s="8">
        <f>Tableau3[[#This Row],[ToM(+2400000)]]+2400000</f>
        <v>2443411.9</v>
      </c>
      <c r="G330" s="34">
        <v>0.1</v>
      </c>
      <c r="H330" s="3" t="s">
        <v>24</v>
      </c>
      <c r="I330" t="s">
        <v>47</v>
      </c>
      <c r="J330" t="s">
        <v>26</v>
      </c>
      <c r="K330" t="s">
        <v>78</v>
      </c>
      <c r="L330" t="s">
        <v>209</v>
      </c>
    </row>
    <row r="331" spans="1:14" x14ac:dyDescent="0.25">
      <c r="A331" t="s">
        <v>222</v>
      </c>
      <c r="B331" t="s">
        <v>223</v>
      </c>
      <c r="C331" t="s">
        <v>23</v>
      </c>
      <c r="D331" t="str">
        <f>_xlfn.CONCAT(Tableau3[[#This Row],[N.Star]]," ",Tableau3[[#This Row],[Const.]])</f>
        <v>RR Lac</v>
      </c>
      <c r="E331" s="8">
        <v>43733.16</v>
      </c>
      <c r="F331" s="8">
        <f>Tableau3[[#This Row],[ToM(+2400000)]]+2400000</f>
        <v>2443733.16</v>
      </c>
      <c r="G331" s="34">
        <v>0.1</v>
      </c>
      <c r="H331" s="3" t="s">
        <v>24</v>
      </c>
      <c r="I331" t="s">
        <v>66</v>
      </c>
      <c r="J331" t="s">
        <v>26</v>
      </c>
      <c r="K331" t="s">
        <v>78</v>
      </c>
      <c r="L331" t="s">
        <v>209</v>
      </c>
    </row>
    <row r="332" spans="1:14" x14ac:dyDescent="0.25">
      <c r="A332" t="s">
        <v>222</v>
      </c>
      <c r="B332" t="s">
        <v>223</v>
      </c>
      <c r="C332" t="s">
        <v>23</v>
      </c>
      <c r="D332" t="str">
        <f>_xlfn.CONCAT(Tableau3[[#This Row],[N.Star]]," ",Tableau3[[#This Row],[Const.]])</f>
        <v>RR Lac</v>
      </c>
      <c r="E332" s="8">
        <v>45195.6</v>
      </c>
      <c r="F332" s="8">
        <f>Tableau3[[#This Row],[ToM(+2400000)]]+2400000</f>
        <v>2445195.6</v>
      </c>
      <c r="G332" s="34">
        <v>0.1</v>
      </c>
      <c r="H332" s="3" t="s">
        <v>24</v>
      </c>
      <c r="I332" t="s">
        <v>224</v>
      </c>
      <c r="J332" t="s">
        <v>26</v>
      </c>
      <c r="K332" t="s">
        <v>78</v>
      </c>
      <c r="L332" t="s">
        <v>209</v>
      </c>
    </row>
    <row r="333" spans="1:14" x14ac:dyDescent="0.25">
      <c r="A333" t="s">
        <v>222</v>
      </c>
      <c r="B333" t="s">
        <v>223</v>
      </c>
      <c r="C333" t="s">
        <v>23</v>
      </c>
      <c r="D333" t="str">
        <f>_xlfn.CONCAT(Tableau3[[#This Row],[N.Star]]," ",Tableau3[[#This Row],[Const.]])</f>
        <v>RR Lac</v>
      </c>
      <c r="E333" s="8">
        <v>48115.64</v>
      </c>
      <c r="F333" s="8">
        <f>Tableau3[[#This Row],[ToM(+2400000)]]+2400000</f>
        <v>2448115.64</v>
      </c>
      <c r="G333" s="34">
        <v>0.45</v>
      </c>
      <c r="H333" s="3" t="s">
        <v>24</v>
      </c>
      <c r="I333" t="s">
        <v>48</v>
      </c>
      <c r="J333" t="s">
        <v>26</v>
      </c>
      <c r="K333" t="s">
        <v>49</v>
      </c>
      <c r="L333" t="s">
        <v>50</v>
      </c>
    </row>
    <row r="334" spans="1:14" x14ac:dyDescent="0.25">
      <c r="A334" t="s">
        <v>222</v>
      </c>
      <c r="B334" t="s">
        <v>223</v>
      </c>
      <c r="C334" t="s">
        <v>23</v>
      </c>
      <c r="D334" t="str">
        <f>_xlfn.CONCAT(Tableau3[[#This Row],[N.Star]]," ",Tableau3[[#This Row],[Const.]])</f>
        <v>RR Lac</v>
      </c>
      <c r="E334" s="8">
        <v>59478.2</v>
      </c>
      <c r="F334" s="8">
        <f>Tableau3[[#This Row],[ToM(+2400000)]]+2400000</f>
        <v>2459478.2000000002</v>
      </c>
      <c r="G334" s="34">
        <v>1.2E-2</v>
      </c>
      <c r="H334" s="3" t="s">
        <v>24</v>
      </c>
      <c r="I334" t="s">
        <v>25</v>
      </c>
      <c r="J334" t="s">
        <v>26</v>
      </c>
      <c r="K334" t="s">
        <v>225</v>
      </c>
      <c r="L334" t="s">
        <v>193</v>
      </c>
    </row>
    <row r="335" spans="1:14" x14ac:dyDescent="0.25">
      <c r="A335" t="s">
        <v>222</v>
      </c>
      <c r="B335" t="s">
        <v>223</v>
      </c>
      <c r="C335" t="s">
        <v>23</v>
      </c>
      <c r="D335" t="str">
        <f>_xlfn.CONCAT(Tableau3[[#This Row],[N.Star]]," ",Tableau3[[#This Row],[Const.]])</f>
        <v>RR Lac</v>
      </c>
      <c r="E335" s="8">
        <v>59767.19</v>
      </c>
      <c r="F335" s="8">
        <f>Tableau3[[#This Row],[ToM(+2400000)]]+2400000</f>
        <v>2459767.19</v>
      </c>
      <c r="G335" s="34">
        <v>0.05</v>
      </c>
      <c r="H335" s="3" t="s">
        <v>24</v>
      </c>
      <c r="I335" t="s">
        <v>25</v>
      </c>
      <c r="J335" t="s">
        <v>26</v>
      </c>
      <c r="K335" t="s">
        <v>225</v>
      </c>
      <c r="L335" t="s">
        <v>193</v>
      </c>
    </row>
    <row r="336" spans="1:14" x14ac:dyDescent="0.25">
      <c r="A336" t="s">
        <v>222</v>
      </c>
      <c r="B336" t="s">
        <v>226</v>
      </c>
      <c r="C336" t="s">
        <v>23</v>
      </c>
      <c r="D336" t="str">
        <f>_xlfn.CONCAT(Tableau3[[#This Row],[N.Star]]," ",Tableau3[[#This Row],[Const.]])</f>
        <v>V Lac</v>
      </c>
      <c r="E336" s="8">
        <v>43731.6</v>
      </c>
      <c r="F336" s="8">
        <f>Tableau3[[#This Row],[ToM(+2400000)]]+2400000</f>
        <v>2443731.6</v>
      </c>
      <c r="G336" s="34">
        <v>0.1</v>
      </c>
      <c r="H336" s="3" t="s">
        <v>24</v>
      </c>
      <c r="I336" t="s">
        <v>66</v>
      </c>
      <c r="J336" t="s">
        <v>26</v>
      </c>
      <c r="K336" t="s">
        <v>78</v>
      </c>
      <c r="L336" t="s">
        <v>209</v>
      </c>
    </row>
    <row r="337" spans="1:14" x14ac:dyDescent="0.25">
      <c r="A337" t="s">
        <v>222</v>
      </c>
      <c r="B337" t="s">
        <v>226</v>
      </c>
      <c r="C337" t="s">
        <v>23</v>
      </c>
      <c r="D337" t="str">
        <f>_xlfn.CONCAT(Tableau3[[#This Row],[N.Star]]," ",Tableau3[[#This Row],[Const.]])</f>
        <v>V Lac</v>
      </c>
      <c r="E337" s="8">
        <v>59497.440000000002</v>
      </c>
      <c r="F337" s="8">
        <f>Tableau3[[#This Row],[ToM(+2400000)]]+2400000</f>
        <v>2459497.44</v>
      </c>
      <c r="G337" s="34">
        <v>0.1</v>
      </c>
      <c r="H337" s="3" t="s">
        <v>24</v>
      </c>
      <c r="I337" t="s">
        <v>25</v>
      </c>
      <c r="J337" t="s">
        <v>26</v>
      </c>
      <c r="K337" t="s">
        <v>171</v>
      </c>
      <c r="L337" t="s">
        <v>451</v>
      </c>
    </row>
    <row r="338" spans="1:14" x14ac:dyDescent="0.25">
      <c r="A338" t="s">
        <v>222</v>
      </c>
      <c r="B338" t="s">
        <v>226</v>
      </c>
      <c r="C338" t="s">
        <v>23</v>
      </c>
      <c r="D338" t="str">
        <f>_xlfn.CONCAT(Tableau3[[#This Row],[N.Star]]," ",Tableau3[[#This Row],[Const.]])</f>
        <v>V Lac</v>
      </c>
      <c r="E338" s="8">
        <v>59547.26</v>
      </c>
      <c r="F338" s="8">
        <f>Tableau3[[#This Row],[ToM(+2400000)]]+2400000</f>
        <v>2459547.2599999998</v>
      </c>
      <c r="G338" s="34">
        <v>0.1</v>
      </c>
      <c r="H338" s="3" t="s">
        <v>24</v>
      </c>
      <c r="I338" t="s">
        <v>25</v>
      </c>
      <c r="J338" t="s">
        <v>26</v>
      </c>
      <c r="K338" t="s">
        <v>171</v>
      </c>
      <c r="L338" t="s">
        <v>451</v>
      </c>
    </row>
    <row r="339" spans="1:14" x14ac:dyDescent="0.25">
      <c r="A339" t="s">
        <v>222</v>
      </c>
      <c r="B339" t="s">
        <v>226</v>
      </c>
      <c r="C339" t="s">
        <v>23</v>
      </c>
      <c r="D339" t="str">
        <f>_xlfn.CONCAT(Tableau3[[#This Row],[N.Star]]," ",Tableau3[[#This Row],[Const.]])</f>
        <v>V Lac</v>
      </c>
      <c r="E339" s="8">
        <v>59741.41</v>
      </c>
      <c r="F339" s="8">
        <f>Tableau3[[#This Row],[ToM(+2400000)]]+2400000</f>
        <v>2459741.41</v>
      </c>
      <c r="G339" s="34">
        <v>0.1</v>
      </c>
      <c r="H339" s="3" t="s">
        <v>24</v>
      </c>
      <c r="I339" t="s">
        <v>25</v>
      </c>
      <c r="J339" t="s">
        <v>26</v>
      </c>
      <c r="K339" t="s">
        <v>171</v>
      </c>
      <c r="L339" t="s">
        <v>451</v>
      </c>
    </row>
    <row r="340" spans="1:14" x14ac:dyDescent="0.25">
      <c r="A340" t="s">
        <v>222</v>
      </c>
      <c r="B340" t="s">
        <v>203</v>
      </c>
      <c r="C340" t="s">
        <v>23</v>
      </c>
      <c r="D340" t="str">
        <f>_xlfn.CONCAT(Tableau3[[#This Row],[N.Star]]," ",Tableau3[[#This Row],[Const.]])</f>
        <v>X Lac</v>
      </c>
      <c r="E340" s="8">
        <v>43729.25</v>
      </c>
      <c r="F340" s="8">
        <f>Tableau3[[#This Row],[ToM(+2400000)]]+2400000</f>
        <v>2443729.25</v>
      </c>
      <c r="G340" s="34">
        <v>0.1</v>
      </c>
      <c r="H340" s="3" t="s">
        <v>24</v>
      </c>
      <c r="I340" t="s">
        <v>66</v>
      </c>
      <c r="J340" t="s">
        <v>26</v>
      </c>
      <c r="K340" t="s">
        <v>78</v>
      </c>
      <c r="L340" t="s">
        <v>209</v>
      </c>
    </row>
    <row r="341" spans="1:14" x14ac:dyDescent="0.25">
      <c r="A341" t="s">
        <v>222</v>
      </c>
      <c r="B341" t="s">
        <v>203</v>
      </c>
      <c r="C341" t="s">
        <v>23</v>
      </c>
      <c r="D341" t="str">
        <f>_xlfn.CONCAT(Tableau3[[#This Row],[N.Star]]," ",Tableau3[[#This Row],[Const.]])</f>
        <v>X Lac</v>
      </c>
      <c r="E341" s="8">
        <v>48101.279999999999</v>
      </c>
      <c r="F341" s="8">
        <f>Tableau3[[#This Row],[ToM(+2400000)]]+2400000</f>
        <v>2448101.2799999998</v>
      </c>
      <c r="G341" s="34">
        <v>0.27</v>
      </c>
      <c r="H341" s="3" t="s">
        <v>24</v>
      </c>
      <c r="I341" t="s">
        <v>48</v>
      </c>
      <c r="J341" t="s">
        <v>26</v>
      </c>
      <c r="K341" t="s">
        <v>57</v>
      </c>
      <c r="L341" t="s">
        <v>227</v>
      </c>
    </row>
    <row r="342" spans="1:14" x14ac:dyDescent="0.25">
      <c r="A342" t="s">
        <v>222</v>
      </c>
      <c r="B342" t="s">
        <v>228</v>
      </c>
      <c r="C342" t="s">
        <v>23</v>
      </c>
      <c r="D342" t="str">
        <f>_xlfn.CONCAT(Tableau3[[#This Row],[N.Star]]," ",Tableau3[[#This Row],[Const.]])</f>
        <v>Z Lac</v>
      </c>
      <c r="E342" s="8">
        <v>43415.4</v>
      </c>
      <c r="F342" s="8">
        <f>Tableau3[[#This Row],[ToM(+2400000)]]+2400000</f>
        <v>2443415.4</v>
      </c>
      <c r="G342" s="34">
        <v>0.1</v>
      </c>
      <c r="H342" s="3" t="s">
        <v>24</v>
      </c>
      <c r="I342" t="s">
        <v>47</v>
      </c>
      <c r="J342" t="s">
        <v>26</v>
      </c>
      <c r="K342" t="s">
        <v>78</v>
      </c>
      <c r="L342" t="s">
        <v>209</v>
      </c>
    </row>
    <row r="343" spans="1:14" x14ac:dyDescent="0.25">
      <c r="A343" t="s">
        <v>222</v>
      </c>
      <c r="B343" t="s">
        <v>228</v>
      </c>
      <c r="C343" t="s">
        <v>23</v>
      </c>
      <c r="D343" t="str">
        <f>_xlfn.CONCAT(Tableau3[[#This Row],[N.Star]]," ",Tableau3[[#This Row],[Const.]])</f>
        <v>Z Lac</v>
      </c>
      <c r="E343" s="8">
        <v>43730.9</v>
      </c>
      <c r="F343" s="8">
        <f>Tableau3[[#This Row],[ToM(+2400000)]]+2400000</f>
        <v>2443730.9</v>
      </c>
      <c r="G343" s="34">
        <v>0.1</v>
      </c>
      <c r="H343" s="3" t="s">
        <v>24</v>
      </c>
      <c r="I343" t="s">
        <v>66</v>
      </c>
      <c r="J343" t="s">
        <v>26</v>
      </c>
      <c r="K343" t="s">
        <v>78</v>
      </c>
      <c r="L343" t="s">
        <v>209</v>
      </c>
    </row>
    <row r="344" spans="1:14" x14ac:dyDescent="0.25">
      <c r="A344" t="s">
        <v>222</v>
      </c>
      <c r="B344" t="s">
        <v>228</v>
      </c>
      <c r="C344" t="s">
        <v>23</v>
      </c>
      <c r="D344" t="str">
        <f>_xlfn.CONCAT(Tableau3[[#This Row],[N.Star]]," ",Tableau3[[#This Row],[Const.]])</f>
        <v>Z Lac</v>
      </c>
      <c r="E344" s="8">
        <v>48117.53</v>
      </c>
      <c r="F344" s="8">
        <f>Tableau3[[#This Row],[ToM(+2400000)]]+2400000</f>
        <v>2448117.5299999998</v>
      </c>
      <c r="G344" s="34">
        <v>0.54</v>
      </c>
      <c r="H344" s="3" t="s">
        <v>24</v>
      </c>
      <c r="I344" t="s">
        <v>48</v>
      </c>
      <c r="J344" t="s">
        <v>26</v>
      </c>
      <c r="K344" t="s">
        <v>49</v>
      </c>
      <c r="L344" t="s">
        <v>50</v>
      </c>
    </row>
    <row r="345" spans="1:14" x14ac:dyDescent="0.25">
      <c r="A345" t="s">
        <v>229</v>
      </c>
      <c r="B345" t="s">
        <v>230</v>
      </c>
      <c r="C345" t="s">
        <v>23</v>
      </c>
      <c r="D345" t="str">
        <f>_xlfn.CONCAT(Tableau3[[#This Row],[N.Star]]," ",Tableau3[[#This Row],[Const.]])</f>
        <v>CC Lyr</v>
      </c>
      <c r="E345" s="8">
        <v>47853.188999999998</v>
      </c>
      <c r="F345" s="8">
        <f>Tableau3[[#This Row],[ToM(+2400000)]]+2400000</f>
        <v>2447853.1889999998</v>
      </c>
      <c r="G345" s="34">
        <v>0.24</v>
      </c>
      <c r="H345" s="3" t="s">
        <v>24</v>
      </c>
      <c r="I345" t="s">
        <v>25</v>
      </c>
      <c r="J345" t="s">
        <v>26</v>
      </c>
      <c r="K345" t="s">
        <v>27</v>
      </c>
      <c r="L345" t="s">
        <v>28</v>
      </c>
    </row>
    <row r="346" spans="1:14" x14ac:dyDescent="0.25">
      <c r="A346" t="s">
        <v>229</v>
      </c>
      <c r="B346" t="s">
        <v>231</v>
      </c>
      <c r="C346" t="s">
        <v>23</v>
      </c>
      <c r="D346" t="str">
        <f>_xlfn.CONCAT(Tableau3[[#This Row],[N.Star]]," ",Tableau3[[#This Row],[Const.]])</f>
        <v>V473 Lyr</v>
      </c>
      <c r="E346" s="8">
        <v>43664.834999999999</v>
      </c>
      <c r="F346" s="8">
        <f>Tableau3[[#This Row],[ToM(+2400000)]]+2400000</f>
        <v>2443664.835</v>
      </c>
      <c r="G346" s="34">
        <v>0.05</v>
      </c>
      <c r="H346" s="3" t="s">
        <v>24</v>
      </c>
      <c r="I346" t="s">
        <v>139</v>
      </c>
      <c r="J346" t="s">
        <v>26</v>
      </c>
      <c r="K346" t="s">
        <v>232</v>
      </c>
      <c r="L346" t="s">
        <v>233</v>
      </c>
    </row>
    <row r="347" spans="1:14" x14ac:dyDescent="0.25">
      <c r="A347" t="s">
        <v>229</v>
      </c>
      <c r="B347" t="s">
        <v>231</v>
      </c>
      <c r="C347" t="s">
        <v>23</v>
      </c>
      <c r="D347" t="str">
        <f>_xlfn.CONCAT(Tableau3[[#This Row],[N.Star]]," ",Tableau3[[#This Row],[Const.]])</f>
        <v>V473 Lyr</v>
      </c>
      <c r="E347" s="8">
        <v>45174.91</v>
      </c>
      <c r="F347" s="8">
        <f>Tableau3[[#This Row],[ToM(+2400000)]]+2400000</f>
        <v>2445174.91</v>
      </c>
      <c r="G347" s="34">
        <v>0.15</v>
      </c>
      <c r="H347" s="3" t="s">
        <v>24</v>
      </c>
      <c r="I347" t="s">
        <v>234</v>
      </c>
      <c r="J347" t="s">
        <v>26</v>
      </c>
      <c r="K347" t="s">
        <v>78</v>
      </c>
      <c r="L347" t="s">
        <v>235</v>
      </c>
    </row>
    <row r="348" spans="1:14" x14ac:dyDescent="0.25">
      <c r="A348" t="s">
        <v>229</v>
      </c>
      <c r="B348" t="s">
        <v>231</v>
      </c>
      <c r="C348" t="s">
        <v>23</v>
      </c>
      <c r="D348" t="str">
        <f>_xlfn.CONCAT(Tableau3[[#This Row],[N.Star]]," ",Tableau3[[#This Row],[Const.]])</f>
        <v>V473 Lyr</v>
      </c>
      <c r="E348" s="8">
        <v>48508.468999999997</v>
      </c>
      <c r="F348" s="8">
        <f>Tableau3[[#This Row],[ToM(+2400000)]]+2400000</f>
        <v>2448508.469</v>
      </c>
      <c r="G348" s="34">
        <v>6.0000000000000001E-3</v>
      </c>
      <c r="H348" s="3" t="s">
        <v>151</v>
      </c>
      <c r="I348" t="s">
        <v>152</v>
      </c>
      <c r="J348" t="s">
        <v>26</v>
      </c>
      <c r="K348" t="s">
        <v>153</v>
      </c>
      <c r="L348" t="s">
        <v>154</v>
      </c>
    </row>
    <row r="349" spans="1:14" x14ac:dyDescent="0.25">
      <c r="A349" t="s">
        <v>236</v>
      </c>
      <c r="B349" t="s">
        <v>237</v>
      </c>
      <c r="C349" t="s">
        <v>23</v>
      </c>
      <c r="D349" t="str">
        <f>_xlfn.CONCAT(Tableau3[[#This Row],[N.Star]]," ",Tableau3[[#This Row],[Const.]])</f>
        <v>BE Mon</v>
      </c>
      <c r="E349" s="8">
        <v>43211.37</v>
      </c>
      <c r="F349" s="8">
        <f>Tableau3[[#This Row],[ToM(+2400000)]]+2400000</f>
        <v>2443211.37</v>
      </c>
      <c r="G349" s="34">
        <v>0.15</v>
      </c>
      <c r="H349" s="3" t="s">
        <v>24</v>
      </c>
      <c r="I349" t="s">
        <v>37</v>
      </c>
      <c r="J349" t="s">
        <v>26</v>
      </c>
      <c r="K349" t="s">
        <v>52</v>
      </c>
      <c r="L349" t="s">
        <v>238</v>
      </c>
    </row>
    <row r="350" spans="1:14" x14ac:dyDescent="0.25">
      <c r="A350" s="103" t="s">
        <v>236</v>
      </c>
      <c r="B350" s="103" t="s">
        <v>239</v>
      </c>
      <c r="C350" s="103" t="s">
        <v>23</v>
      </c>
      <c r="D350" s="103" t="str">
        <f>_xlfn.CONCAT(Tableau3[[#This Row],[N.Star]]," ",Tableau3[[#This Row],[Const.]])</f>
        <v>T Mon</v>
      </c>
      <c r="E350" s="104">
        <v>43216.89</v>
      </c>
      <c r="F350" s="104">
        <f>Tableau3[[#This Row],[ToM(+2400000)]]+2400000</f>
        <v>2443216.89</v>
      </c>
      <c r="G350" s="105">
        <v>0.15</v>
      </c>
      <c r="H350" s="106" t="s">
        <v>24</v>
      </c>
      <c r="I350" s="103" t="s">
        <v>42</v>
      </c>
      <c r="J350" s="103" t="s">
        <v>26</v>
      </c>
      <c r="K350" s="103" t="s">
        <v>52</v>
      </c>
      <c r="L350" s="103" t="s">
        <v>238</v>
      </c>
      <c r="M350" s="103"/>
      <c r="N350" s="103" t="s">
        <v>240</v>
      </c>
    </row>
    <row r="351" spans="1:14" x14ac:dyDescent="0.25">
      <c r="A351" s="103" t="s">
        <v>236</v>
      </c>
      <c r="B351" s="103" t="s">
        <v>239</v>
      </c>
      <c r="C351" s="103" t="s">
        <v>23</v>
      </c>
      <c r="D351" s="103" t="str">
        <f>_xlfn.CONCAT(Tableau3[[#This Row],[N.Star]]," ",Tableau3[[#This Row],[Const.]])</f>
        <v>T Mon</v>
      </c>
      <c r="E351" s="104">
        <v>43243.21</v>
      </c>
      <c r="F351" s="104">
        <f>Tableau3[[#This Row],[ToM(+2400000)]]+2400000</f>
        <v>2443243.21</v>
      </c>
      <c r="G351" s="105">
        <v>0.1</v>
      </c>
      <c r="H351" s="106" t="s">
        <v>24</v>
      </c>
      <c r="I351" s="103" t="s">
        <v>70</v>
      </c>
      <c r="J351" s="103" t="s">
        <v>26</v>
      </c>
      <c r="K351" s="103" t="s">
        <v>78</v>
      </c>
      <c r="L351" s="103" t="s">
        <v>209</v>
      </c>
      <c r="M351" s="103"/>
      <c r="N351" s="103"/>
    </row>
    <row r="352" spans="1:14" x14ac:dyDescent="0.25">
      <c r="A352" s="103" t="s">
        <v>236</v>
      </c>
      <c r="B352" s="103" t="s">
        <v>239</v>
      </c>
      <c r="C352" s="103" t="s">
        <v>23</v>
      </c>
      <c r="D352" s="103" t="str">
        <f>_xlfn.CONCAT(Tableau3[[#This Row],[N.Star]]," ",Tableau3[[#This Row],[Const.]])</f>
        <v>T Mon</v>
      </c>
      <c r="E352" s="104">
        <v>43405.599999999999</v>
      </c>
      <c r="F352" s="104">
        <f>Tableau3[[#This Row],[ToM(+2400000)]]+2400000</f>
        <v>2443405.6</v>
      </c>
      <c r="G352" s="105">
        <v>0.1</v>
      </c>
      <c r="H352" s="106" t="s">
        <v>24</v>
      </c>
      <c r="I352" s="103" t="s">
        <v>47</v>
      </c>
      <c r="J352" s="103" t="s">
        <v>26</v>
      </c>
      <c r="K352" s="103" t="s">
        <v>78</v>
      </c>
      <c r="L352" s="103" t="s">
        <v>209</v>
      </c>
      <c r="M352" s="103"/>
      <c r="N352" s="103"/>
    </row>
    <row r="353" spans="1:14" x14ac:dyDescent="0.25">
      <c r="A353" s="103" t="s">
        <v>236</v>
      </c>
      <c r="B353" s="103" t="s">
        <v>239</v>
      </c>
      <c r="C353" s="103" t="s">
        <v>23</v>
      </c>
      <c r="D353" s="103" t="str">
        <f>_xlfn.CONCAT(Tableau3[[#This Row],[N.Star]]," ",Tableau3[[#This Row],[Const.]])</f>
        <v>T Mon</v>
      </c>
      <c r="E353" s="104">
        <v>43450.46</v>
      </c>
      <c r="F353" s="104">
        <f>Tableau3[[#This Row],[ToM(+2400000)]]+2400000</f>
        <v>2443450.46</v>
      </c>
      <c r="G353" s="105">
        <v>0.1</v>
      </c>
      <c r="H353" s="106" t="s">
        <v>24</v>
      </c>
      <c r="I353" s="103" t="s">
        <v>45</v>
      </c>
      <c r="J353" s="103" t="s">
        <v>26</v>
      </c>
      <c r="K353" s="103" t="s">
        <v>78</v>
      </c>
      <c r="L353" s="103" t="s">
        <v>209</v>
      </c>
      <c r="M353" s="103"/>
      <c r="N353" s="103"/>
    </row>
    <row r="354" spans="1:14" x14ac:dyDescent="0.25">
      <c r="A354" s="103" t="s">
        <v>236</v>
      </c>
      <c r="B354" s="103" t="s">
        <v>239</v>
      </c>
      <c r="C354" s="103" t="s">
        <v>23</v>
      </c>
      <c r="D354" s="103" t="str">
        <f>_xlfn.CONCAT(Tableau3[[#This Row],[N.Star]]," ",Tableau3[[#This Row],[Const.]])</f>
        <v>T Mon</v>
      </c>
      <c r="E354" s="104">
        <v>43514.5</v>
      </c>
      <c r="F354" s="104">
        <f>Tableau3[[#This Row],[ToM(+2400000)]]+2400000</f>
        <v>2443514.5</v>
      </c>
      <c r="G354" s="105">
        <v>0.1</v>
      </c>
      <c r="H354" s="106" t="s">
        <v>24</v>
      </c>
      <c r="I354" s="103" t="s">
        <v>100</v>
      </c>
      <c r="J354" s="103" t="s">
        <v>26</v>
      </c>
      <c r="K354" s="103" t="s">
        <v>78</v>
      </c>
      <c r="L354" s="103" t="s">
        <v>209</v>
      </c>
      <c r="M354" s="103"/>
      <c r="N354" s="103"/>
    </row>
    <row r="355" spans="1:14" x14ac:dyDescent="0.25">
      <c r="A355" s="103" t="s">
        <v>236</v>
      </c>
      <c r="B355" s="103" t="s">
        <v>239</v>
      </c>
      <c r="C355" s="103" t="s">
        <v>23</v>
      </c>
      <c r="D355" s="103" t="str">
        <f>_xlfn.CONCAT(Tableau3[[#This Row],[N.Star]]," ",Tableau3[[#This Row],[Const.]])</f>
        <v>T Mon</v>
      </c>
      <c r="E355" s="104">
        <v>43544.22</v>
      </c>
      <c r="F355" s="104">
        <f>Tableau3[[#This Row],[ToM(+2400000)]]+2400000</f>
        <v>2443544.2200000002</v>
      </c>
      <c r="G355" s="105">
        <v>0.1</v>
      </c>
      <c r="H355" s="106" t="s">
        <v>24</v>
      </c>
      <c r="I355" s="103" t="s">
        <v>103</v>
      </c>
      <c r="J355" s="103" t="s">
        <v>26</v>
      </c>
      <c r="K355" s="103" t="s">
        <v>78</v>
      </c>
      <c r="L355" s="103" t="s">
        <v>209</v>
      </c>
      <c r="M355" s="103"/>
      <c r="N355" s="103"/>
    </row>
    <row r="356" spans="1:14" x14ac:dyDescent="0.25">
      <c r="A356" s="103" t="s">
        <v>236</v>
      </c>
      <c r="B356" s="103" t="s">
        <v>239</v>
      </c>
      <c r="C356" s="103" t="s">
        <v>23</v>
      </c>
      <c r="D356" s="103" t="str">
        <f>_xlfn.CONCAT(Tableau3[[#This Row],[N.Star]]," ",Tableau3[[#This Row],[Const.]])</f>
        <v>T Mon</v>
      </c>
      <c r="E356" s="104">
        <v>43568</v>
      </c>
      <c r="F356" s="104">
        <f>Tableau3[[#This Row],[ToM(+2400000)]]+2400000</f>
        <v>2443568</v>
      </c>
      <c r="G356" s="105">
        <v>0.1</v>
      </c>
      <c r="H356" s="106" t="s">
        <v>24</v>
      </c>
      <c r="I356" s="103" t="s">
        <v>54</v>
      </c>
      <c r="J356" s="103" t="s">
        <v>26</v>
      </c>
      <c r="K356" s="103" t="s">
        <v>78</v>
      </c>
      <c r="L356" s="103" t="s">
        <v>209</v>
      </c>
      <c r="M356" s="103"/>
      <c r="N356" s="103"/>
    </row>
    <row r="357" spans="1:14" x14ac:dyDescent="0.25">
      <c r="A357" s="103" t="s">
        <v>236</v>
      </c>
      <c r="B357" s="103" t="s">
        <v>239</v>
      </c>
      <c r="C357" s="103" t="s">
        <v>23</v>
      </c>
      <c r="D357" s="103" t="str">
        <f>_xlfn.CONCAT(Tableau3[[#This Row],[N.Star]]," ",Tableau3[[#This Row],[Const.]])</f>
        <v>T Mon</v>
      </c>
      <c r="E357" s="104">
        <v>43704.45</v>
      </c>
      <c r="F357" s="104">
        <f>Tableau3[[#This Row],[ToM(+2400000)]]+2400000</f>
        <v>2443704.4500000002</v>
      </c>
      <c r="G357" s="105">
        <v>0.1</v>
      </c>
      <c r="H357" s="106" t="s">
        <v>24</v>
      </c>
      <c r="I357" s="103" t="s">
        <v>241</v>
      </c>
      <c r="J357" s="103" t="s">
        <v>26</v>
      </c>
      <c r="K357" s="103" t="s">
        <v>78</v>
      </c>
      <c r="L357" s="103" t="s">
        <v>209</v>
      </c>
      <c r="M357" s="103"/>
      <c r="N357" s="103"/>
    </row>
    <row r="358" spans="1:14" x14ac:dyDescent="0.25">
      <c r="A358" s="103" t="s">
        <v>236</v>
      </c>
      <c r="B358" s="103" t="s">
        <v>239</v>
      </c>
      <c r="C358" s="103" t="s">
        <v>23</v>
      </c>
      <c r="D358" s="103" t="str">
        <f>_xlfn.CONCAT(Tableau3[[#This Row],[N.Star]]," ",Tableau3[[#This Row],[Const.]])</f>
        <v>T Mon</v>
      </c>
      <c r="E358" s="104">
        <v>43891.7</v>
      </c>
      <c r="F358" s="104">
        <f>Tableau3[[#This Row],[ToM(+2400000)]]+2400000</f>
        <v>2443891.7000000002</v>
      </c>
      <c r="G358" s="105">
        <v>0.1</v>
      </c>
      <c r="H358" s="106" t="s">
        <v>24</v>
      </c>
      <c r="I358" s="103" t="s">
        <v>177</v>
      </c>
      <c r="J358" s="103" t="s">
        <v>26</v>
      </c>
      <c r="K358" s="103" t="s">
        <v>78</v>
      </c>
      <c r="L358" s="103" t="s">
        <v>209</v>
      </c>
      <c r="M358" s="103"/>
      <c r="N358" s="103"/>
    </row>
    <row r="359" spans="1:14" x14ac:dyDescent="0.25">
      <c r="A359" s="103" t="s">
        <v>236</v>
      </c>
      <c r="B359" s="103" t="s">
        <v>239</v>
      </c>
      <c r="C359" s="103" t="s">
        <v>23</v>
      </c>
      <c r="D359" s="103" t="str">
        <f>_xlfn.CONCAT(Tableau3[[#This Row],[N.Star]]," ",Tableau3[[#This Row],[Const.]])</f>
        <v>T Mon</v>
      </c>
      <c r="E359" s="104">
        <v>43918.99</v>
      </c>
      <c r="F359" s="104">
        <f>Tableau3[[#This Row],[ToM(+2400000)]]+2400000</f>
        <v>2443918.9900000002</v>
      </c>
      <c r="G359" s="105">
        <v>0.1</v>
      </c>
      <c r="H359" s="106" t="s">
        <v>24</v>
      </c>
      <c r="I359" s="103" t="s">
        <v>214</v>
      </c>
      <c r="J359" s="103" t="s">
        <v>26</v>
      </c>
      <c r="K359" s="103" t="s">
        <v>78</v>
      </c>
      <c r="L359" s="103" t="s">
        <v>209</v>
      </c>
      <c r="M359" s="103"/>
      <c r="N359" s="103"/>
    </row>
    <row r="360" spans="1:14" x14ac:dyDescent="0.25">
      <c r="A360" s="103" t="s">
        <v>236</v>
      </c>
      <c r="B360" s="103" t="s">
        <v>239</v>
      </c>
      <c r="C360" s="103" t="s">
        <v>23</v>
      </c>
      <c r="D360" s="103" t="str">
        <f>_xlfn.CONCAT(Tableau3[[#This Row],[N.Star]]," ",Tableau3[[#This Row],[Const.]])</f>
        <v>T Mon</v>
      </c>
      <c r="E360" s="104">
        <v>44325.65</v>
      </c>
      <c r="F360" s="104">
        <f>Tableau3[[#This Row],[ToM(+2400000)]]+2400000</f>
        <v>2444325.65</v>
      </c>
      <c r="G360" s="105">
        <v>0.1</v>
      </c>
      <c r="H360" s="106" t="s">
        <v>24</v>
      </c>
      <c r="I360" s="103" t="s">
        <v>242</v>
      </c>
      <c r="J360" s="103" t="s">
        <v>26</v>
      </c>
      <c r="K360" s="103" t="s">
        <v>78</v>
      </c>
      <c r="L360" s="103" t="s">
        <v>209</v>
      </c>
      <c r="M360" s="103"/>
      <c r="N360" s="103"/>
    </row>
    <row r="361" spans="1:14" x14ac:dyDescent="0.25">
      <c r="A361" s="103" t="s">
        <v>236</v>
      </c>
      <c r="B361" s="103" t="s">
        <v>239</v>
      </c>
      <c r="C361" s="103" t="s">
        <v>23</v>
      </c>
      <c r="D361" s="103" t="str">
        <f>_xlfn.CONCAT(Tableau3[[#This Row],[N.Star]]," ",Tableau3[[#This Row],[Const.]])</f>
        <v>T Mon</v>
      </c>
      <c r="E361" s="104">
        <v>44514.34</v>
      </c>
      <c r="F361" s="104">
        <f>Tableau3[[#This Row],[ToM(+2400000)]]+2400000</f>
        <v>2444514.34</v>
      </c>
      <c r="G361" s="105">
        <v>0.1</v>
      </c>
      <c r="H361" s="106" t="s">
        <v>24</v>
      </c>
      <c r="I361" s="103" t="s">
        <v>25</v>
      </c>
      <c r="J361" s="103" t="s">
        <v>26</v>
      </c>
      <c r="K361" s="103" t="s">
        <v>78</v>
      </c>
      <c r="L361" s="103" t="s">
        <v>209</v>
      </c>
      <c r="M361" s="103"/>
      <c r="N361" s="103"/>
    </row>
    <row r="362" spans="1:14" x14ac:dyDescent="0.25">
      <c r="A362" s="103" t="s">
        <v>236</v>
      </c>
      <c r="B362" s="103" t="s">
        <v>239</v>
      </c>
      <c r="C362" s="103" t="s">
        <v>23</v>
      </c>
      <c r="D362" s="103" t="str">
        <f>_xlfn.CONCAT(Tableau3[[#This Row],[N.Star]]," ",Tableau3[[#This Row],[Const.]])</f>
        <v>T Mon</v>
      </c>
      <c r="E362" s="104">
        <v>44514.364000000001</v>
      </c>
      <c r="F362" s="104">
        <f>Tableau3[[#This Row],[ToM(+2400000)]]+2400000</f>
        <v>2444514.3640000001</v>
      </c>
      <c r="G362" s="105">
        <v>0.15</v>
      </c>
      <c r="H362" s="106" t="s">
        <v>24</v>
      </c>
      <c r="I362" s="103" t="s">
        <v>25</v>
      </c>
      <c r="J362" s="103" t="s">
        <v>26</v>
      </c>
      <c r="K362" s="103" t="s">
        <v>27</v>
      </c>
      <c r="L362" s="103" t="s">
        <v>27</v>
      </c>
      <c r="M362" s="103"/>
      <c r="N362" s="103" t="s">
        <v>39</v>
      </c>
    </row>
    <row r="363" spans="1:14" x14ac:dyDescent="0.25">
      <c r="A363" s="103" t="s">
        <v>236</v>
      </c>
      <c r="B363" s="103" t="s">
        <v>239</v>
      </c>
      <c r="C363" s="103" t="s">
        <v>23</v>
      </c>
      <c r="D363" s="103" t="str">
        <f>_xlfn.CONCAT(Tableau3[[#This Row],[N.Star]]," ",Tableau3[[#This Row],[Const.]])</f>
        <v>T Mon</v>
      </c>
      <c r="E363" s="104">
        <v>44622.07</v>
      </c>
      <c r="F363" s="104">
        <f>Tableau3[[#This Row],[ToM(+2400000)]]+2400000</f>
        <v>2444622.0699999998</v>
      </c>
      <c r="G363" s="105">
        <v>0.1</v>
      </c>
      <c r="H363" s="106" t="s">
        <v>24</v>
      </c>
      <c r="I363" s="103" t="s">
        <v>215</v>
      </c>
      <c r="J363" s="103" t="s">
        <v>26</v>
      </c>
      <c r="K363" s="103" t="s">
        <v>78</v>
      </c>
      <c r="L363" s="103" t="s">
        <v>209</v>
      </c>
      <c r="M363" s="103"/>
      <c r="N363" s="103"/>
    </row>
    <row r="364" spans="1:14" x14ac:dyDescent="0.25">
      <c r="A364" s="103" t="s">
        <v>236</v>
      </c>
      <c r="B364" s="103" t="s">
        <v>239</v>
      </c>
      <c r="C364" s="103" t="s">
        <v>23</v>
      </c>
      <c r="D364" s="103" t="str">
        <f>_xlfn.CONCAT(Tableau3[[#This Row],[N.Star]]," ",Tableau3[[#This Row],[Const.]])</f>
        <v>T Mon</v>
      </c>
      <c r="E364" s="104">
        <v>53354.04</v>
      </c>
      <c r="F364" s="104">
        <f>Tableau3[[#This Row],[ToM(+2400000)]]+2400000</f>
        <v>2453354.04</v>
      </c>
      <c r="G364" s="105">
        <v>0.54</v>
      </c>
      <c r="H364" s="106" t="s">
        <v>24</v>
      </c>
      <c r="I364" s="103" t="s">
        <v>56</v>
      </c>
      <c r="J364" s="103" t="s">
        <v>26</v>
      </c>
      <c r="K364" s="103" t="s">
        <v>243</v>
      </c>
      <c r="L364" s="103" t="s">
        <v>244</v>
      </c>
      <c r="M364" s="103"/>
      <c r="N364" s="103"/>
    </row>
    <row r="365" spans="1:14" x14ac:dyDescent="0.25">
      <c r="A365" t="s">
        <v>245</v>
      </c>
      <c r="B365" t="s">
        <v>246</v>
      </c>
      <c r="C365" t="s">
        <v>23</v>
      </c>
      <c r="D365" t="str">
        <f>_xlfn.CONCAT(Tableau3[[#This Row],[N.Star]]," ",Tableau3[[#This Row],[Const.]])</f>
        <v>Y Oph</v>
      </c>
      <c r="E365" s="8">
        <v>43312.37</v>
      </c>
      <c r="F365" s="8">
        <f>Tableau3[[#This Row],[ToM(+2400000)]]+2400000</f>
        <v>2443312.37</v>
      </c>
      <c r="G365" s="34">
        <v>0.15</v>
      </c>
      <c r="H365" s="3" t="s">
        <v>24</v>
      </c>
      <c r="I365" t="s">
        <v>47</v>
      </c>
      <c r="J365" t="s">
        <v>26</v>
      </c>
      <c r="K365" t="s">
        <v>52</v>
      </c>
      <c r="L365" t="s">
        <v>238</v>
      </c>
    </row>
    <row r="366" spans="1:14" x14ac:dyDescent="0.25">
      <c r="A366" t="s">
        <v>245</v>
      </c>
      <c r="B366" t="s">
        <v>246</v>
      </c>
      <c r="C366" t="s">
        <v>23</v>
      </c>
      <c r="D366" t="str">
        <f>_xlfn.CONCAT(Tableau3[[#This Row],[N.Star]]," ",Tableau3[[#This Row],[Const.]])</f>
        <v>Y Oph</v>
      </c>
      <c r="E366" s="8">
        <v>43347.14</v>
      </c>
      <c r="F366" s="8">
        <f>Tableau3[[#This Row],[ToM(+2400000)]]+2400000</f>
        <v>2443347.14</v>
      </c>
      <c r="G366" s="34">
        <v>0.15</v>
      </c>
      <c r="H366" s="3" t="s">
        <v>24</v>
      </c>
      <c r="I366" t="s">
        <v>47</v>
      </c>
      <c r="J366" t="s">
        <v>26</v>
      </c>
      <c r="K366" t="s">
        <v>52</v>
      </c>
      <c r="L366" t="s">
        <v>238</v>
      </c>
    </row>
    <row r="367" spans="1:14" x14ac:dyDescent="0.25">
      <c r="A367" t="s">
        <v>245</v>
      </c>
      <c r="B367" t="s">
        <v>246</v>
      </c>
      <c r="C367" t="s">
        <v>23</v>
      </c>
      <c r="D367" t="str">
        <f>_xlfn.CONCAT(Tableau3[[#This Row],[N.Star]]," ",Tableau3[[#This Row],[Const.]])</f>
        <v>Y Oph</v>
      </c>
      <c r="E367" s="8">
        <v>43347.14</v>
      </c>
      <c r="F367" s="8">
        <f>Tableau3[[#This Row],[ToM(+2400000)]]+2400000</f>
        <v>2443347.14</v>
      </c>
      <c r="G367" s="34">
        <v>0.15</v>
      </c>
      <c r="H367" s="3" t="s">
        <v>24</v>
      </c>
      <c r="I367" t="s">
        <v>72</v>
      </c>
      <c r="J367" t="s">
        <v>26</v>
      </c>
      <c r="K367" t="s">
        <v>52</v>
      </c>
      <c r="L367" t="s">
        <v>238</v>
      </c>
      <c r="N367" s="10" t="s">
        <v>247</v>
      </c>
    </row>
    <row r="368" spans="1:14" x14ac:dyDescent="0.25">
      <c r="A368" t="s">
        <v>245</v>
      </c>
      <c r="B368" t="s">
        <v>246</v>
      </c>
      <c r="C368" t="s">
        <v>23</v>
      </c>
      <c r="D368" t="str">
        <f>_xlfn.CONCAT(Tableau3[[#This Row],[N.Star]]," ",Tableau3[[#This Row],[Const.]])</f>
        <v>Y Oph</v>
      </c>
      <c r="E368" s="8">
        <v>44820.178</v>
      </c>
      <c r="F368" s="8">
        <f>Tableau3[[#This Row],[ToM(+2400000)]]+2400000</f>
        <v>2444820.1779999998</v>
      </c>
      <c r="G368" s="34">
        <v>0.4</v>
      </c>
      <c r="H368" s="3" t="s">
        <v>24</v>
      </c>
      <c r="I368" t="s">
        <v>25</v>
      </c>
      <c r="J368" t="s">
        <v>26</v>
      </c>
      <c r="K368" t="s">
        <v>27</v>
      </c>
      <c r="L368" t="s">
        <v>27</v>
      </c>
      <c r="N368" t="s">
        <v>39</v>
      </c>
    </row>
    <row r="369" spans="1:14" x14ac:dyDescent="0.25">
      <c r="A369" t="s">
        <v>245</v>
      </c>
      <c r="B369" t="s">
        <v>246</v>
      </c>
      <c r="C369" t="s">
        <v>23</v>
      </c>
      <c r="D369" t="str">
        <f>_xlfn.CONCAT(Tableau3[[#This Row],[N.Star]]," ",Tableau3[[#This Row],[Const.]])</f>
        <v>Y Oph</v>
      </c>
      <c r="E369" s="8">
        <v>47371.82</v>
      </c>
      <c r="F369" s="8">
        <f>Tableau3[[#This Row],[ToM(+2400000)]]+2400000</f>
        <v>2447371.8199999998</v>
      </c>
      <c r="G369" s="34">
        <v>0.86</v>
      </c>
      <c r="H369" s="3" t="s">
        <v>24</v>
      </c>
      <c r="I369" t="s">
        <v>48</v>
      </c>
      <c r="J369" t="s">
        <v>26</v>
      </c>
      <c r="K369" t="s">
        <v>57</v>
      </c>
      <c r="L369" t="s">
        <v>248</v>
      </c>
    </row>
    <row r="370" spans="1:14" x14ac:dyDescent="0.25">
      <c r="A370" t="s">
        <v>249</v>
      </c>
      <c r="B370" t="s">
        <v>250</v>
      </c>
      <c r="C370" t="s">
        <v>23</v>
      </c>
      <c r="D370" t="str">
        <f>_xlfn.CONCAT(Tableau3[[#This Row],[N.Star]]," ",Tableau3[[#This Row],[Const.]])</f>
        <v>GQ Ori</v>
      </c>
      <c r="E370" s="8">
        <v>43203.18</v>
      </c>
      <c r="F370" s="8">
        <f>Tableau3[[#This Row],[ToM(+2400000)]]+2400000</f>
        <v>2443203.1800000002</v>
      </c>
      <c r="G370" s="34">
        <v>0.15</v>
      </c>
      <c r="H370" s="3" t="s">
        <v>24</v>
      </c>
      <c r="I370" t="s">
        <v>80</v>
      </c>
      <c r="J370" t="s">
        <v>26</v>
      </c>
      <c r="K370" t="s">
        <v>52</v>
      </c>
      <c r="L370" t="s">
        <v>238</v>
      </c>
    </row>
    <row r="371" spans="1:14" x14ac:dyDescent="0.25">
      <c r="A371" t="s">
        <v>249</v>
      </c>
      <c r="B371" t="s">
        <v>250</v>
      </c>
      <c r="C371" t="s">
        <v>23</v>
      </c>
      <c r="D371" t="str">
        <f>_xlfn.CONCAT(Tableau3[[#This Row],[N.Star]]," ",Tableau3[[#This Row],[Const.]])</f>
        <v>GQ Ori</v>
      </c>
      <c r="E371" s="8">
        <v>43229.46</v>
      </c>
      <c r="F371" s="8">
        <f>Tableau3[[#This Row],[ToM(+2400000)]]+2400000</f>
        <v>2443229.46</v>
      </c>
      <c r="G371" s="34">
        <v>0.15</v>
      </c>
      <c r="H371" s="3" t="s">
        <v>24</v>
      </c>
      <c r="I371" t="s">
        <v>37</v>
      </c>
      <c r="J371" t="s">
        <v>26</v>
      </c>
      <c r="K371" t="s">
        <v>52</v>
      </c>
      <c r="L371" t="s">
        <v>238</v>
      </c>
    </row>
    <row r="372" spans="1:14" x14ac:dyDescent="0.25">
      <c r="A372" s="111" t="s">
        <v>251</v>
      </c>
      <c r="B372" s="111" t="s">
        <v>252</v>
      </c>
      <c r="C372" s="111" t="s">
        <v>23</v>
      </c>
      <c r="D372" s="111" t="str">
        <f>_xlfn.CONCAT(Tableau3[[#This Row],[N.Star]]," ",Tableau3[[#This Row],[Const.]])</f>
        <v>AW Per</v>
      </c>
      <c r="E372" s="112">
        <v>43510.76</v>
      </c>
      <c r="F372" s="112">
        <f>Tableau3[[#This Row],[ToM(+2400000)]]+2400000</f>
        <v>2443510.7599999998</v>
      </c>
      <c r="G372" s="113">
        <v>0.2</v>
      </c>
      <c r="H372" s="114" t="s">
        <v>24</v>
      </c>
      <c r="I372" s="111" t="s">
        <v>100</v>
      </c>
      <c r="J372" s="111" t="s">
        <v>26</v>
      </c>
      <c r="K372" s="111" t="s">
        <v>106</v>
      </c>
      <c r="L372" s="111" t="s">
        <v>107</v>
      </c>
      <c r="M372" s="111"/>
      <c r="N372" s="111"/>
    </row>
    <row r="373" spans="1:14" x14ac:dyDescent="0.25">
      <c r="A373" s="111" t="s">
        <v>251</v>
      </c>
      <c r="B373" s="111" t="s">
        <v>252</v>
      </c>
      <c r="C373" s="111" t="s">
        <v>23</v>
      </c>
      <c r="D373" s="111" t="str">
        <f>_xlfn.CONCAT(Tableau3[[#This Row],[N.Star]]," ",Tableau3[[#This Row],[Const.]])</f>
        <v>AW Per</v>
      </c>
      <c r="E373" s="112">
        <v>43879.040000000001</v>
      </c>
      <c r="F373" s="112">
        <f>Tableau3[[#This Row],[ToM(+2400000)]]+2400000</f>
        <v>2443879.04</v>
      </c>
      <c r="G373" s="113">
        <v>0.3</v>
      </c>
      <c r="H373" s="114" t="s">
        <v>24</v>
      </c>
      <c r="I373" s="111" t="s">
        <v>100</v>
      </c>
      <c r="J373" s="111" t="s">
        <v>26</v>
      </c>
      <c r="K373" s="111" t="s">
        <v>188</v>
      </c>
      <c r="L373" s="111" t="s">
        <v>189</v>
      </c>
      <c r="M373" s="111"/>
      <c r="N373" s="111"/>
    </row>
    <row r="374" spans="1:14" x14ac:dyDescent="0.25">
      <c r="A374" s="111" t="s">
        <v>251</v>
      </c>
      <c r="B374" s="111" t="s">
        <v>252</v>
      </c>
      <c r="C374" s="111" t="s">
        <v>23</v>
      </c>
      <c r="D374" s="111" t="str">
        <f>_xlfn.CONCAT(Tableau3[[#This Row],[N.Star]]," ",Tableau3[[#This Row],[Const.]])</f>
        <v>AW Per</v>
      </c>
      <c r="E374" s="112">
        <v>44964.99</v>
      </c>
      <c r="F374" s="112">
        <f>Tableau3[[#This Row],[ToM(+2400000)]]+2400000</f>
        <v>2444964.9900000002</v>
      </c>
      <c r="G374" s="113">
        <v>0.1</v>
      </c>
      <c r="H374" s="114" t="s">
        <v>24</v>
      </c>
      <c r="I374" s="111" t="s">
        <v>25</v>
      </c>
      <c r="J374" s="111" t="s">
        <v>26</v>
      </c>
      <c r="K374" s="111" t="s">
        <v>27</v>
      </c>
      <c r="L374" s="111" t="s">
        <v>27</v>
      </c>
      <c r="M374" s="111"/>
      <c r="N374" s="111" t="s">
        <v>39</v>
      </c>
    </row>
    <row r="375" spans="1:14" x14ac:dyDescent="0.25">
      <c r="A375" s="111" t="s">
        <v>251</v>
      </c>
      <c r="B375" s="111" t="s">
        <v>252</v>
      </c>
      <c r="C375" s="111" t="s">
        <v>23</v>
      </c>
      <c r="D375" s="111" t="str">
        <f>_xlfn.CONCAT(Tableau3[[#This Row],[N.Star]]," ",Tableau3[[#This Row],[Const.]])</f>
        <v>AW Per</v>
      </c>
      <c r="E375" s="112">
        <v>52339.904000000002</v>
      </c>
      <c r="F375" s="112">
        <f>Tableau3[[#This Row],[ToM(+2400000)]]+2400000</f>
        <v>2452339.9040000001</v>
      </c>
      <c r="G375" s="113">
        <v>0.08</v>
      </c>
      <c r="H375" s="114" t="s">
        <v>24</v>
      </c>
      <c r="I375" s="111" t="s">
        <v>56</v>
      </c>
      <c r="J375" s="111" t="s">
        <v>26</v>
      </c>
      <c r="K375" s="111" t="s">
        <v>27</v>
      </c>
      <c r="L375" s="111" t="s">
        <v>27</v>
      </c>
      <c r="M375" s="111"/>
      <c r="N375" s="111"/>
    </row>
    <row r="376" spans="1:14" x14ac:dyDescent="0.25">
      <c r="A376" s="111" t="s">
        <v>251</v>
      </c>
      <c r="B376" s="111" t="s">
        <v>252</v>
      </c>
      <c r="C376" s="111" t="s">
        <v>23</v>
      </c>
      <c r="D376" s="111" t="str">
        <f>_xlfn.CONCAT(Tableau3[[#This Row],[N.Star]]," ",Tableau3[[#This Row],[Const.]])</f>
        <v>AW Per</v>
      </c>
      <c r="E376" s="112">
        <v>56218.122000000003</v>
      </c>
      <c r="F376" s="112">
        <f>Tableau3[[#This Row],[ToM(+2400000)]]+2400000</f>
        <v>2456218.122</v>
      </c>
      <c r="G376" s="113">
        <v>0.1</v>
      </c>
      <c r="H376" s="114" t="s">
        <v>24</v>
      </c>
      <c r="I376" s="111" t="s">
        <v>122</v>
      </c>
      <c r="J376" s="111" t="s">
        <v>26</v>
      </c>
      <c r="K376" s="111" t="s">
        <v>27</v>
      </c>
      <c r="L376" s="111" t="s">
        <v>27</v>
      </c>
      <c r="M376" s="111"/>
      <c r="N376" s="111"/>
    </row>
    <row r="377" spans="1:14" x14ac:dyDescent="0.25">
      <c r="A377" s="111" t="s">
        <v>251</v>
      </c>
      <c r="B377" s="111" t="s">
        <v>252</v>
      </c>
      <c r="C377" s="111" t="s">
        <v>23</v>
      </c>
      <c r="D377" s="111" t="str">
        <f>_xlfn.CONCAT(Tableau3[[#This Row],[N.Star]]," ",Tableau3[[#This Row],[Const.]])</f>
        <v>AW Per</v>
      </c>
      <c r="E377" s="112">
        <v>56276.326000000001</v>
      </c>
      <c r="F377" s="112">
        <f>Tableau3[[#This Row],[ToM(+2400000)]]+2400000</f>
        <v>2456276.3259999999</v>
      </c>
      <c r="G377" s="113">
        <v>0.1</v>
      </c>
      <c r="H377" s="114" t="s">
        <v>24</v>
      </c>
      <c r="I377" s="111" t="s">
        <v>122</v>
      </c>
      <c r="J377" s="111" t="s">
        <v>26</v>
      </c>
      <c r="K377" s="111" t="s">
        <v>27</v>
      </c>
      <c r="L377" s="111" t="s">
        <v>27</v>
      </c>
      <c r="M377" s="111"/>
      <c r="N377" s="111"/>
    </row>
    <row r="378" spans="1:14" x14ac:dyDescent="0.25">
      <c r="A378" s="111" t="s">
        <v>251</v>
      </c>
      <c r="B378" s="111" t="s">
        <v>252</v>
      </c>
      <c r="C378" s="111" t="s">
        <v>23</v>
      </c>
      <c r="D378" s="111" t="str">
        <f>_xlfn.CONCAT(Tableau3[[#This Row],[N.Star]]," ",Tableau3[[#This Row],[Const.]])</f>
        <v>AW Per</v>
      </c>
      <c r="E378" s="112">
        <v>56644.718000000001</v>
      </c>
      <c r="F378" s="112">
        <f>Tableau3[[#This Row],[ToM(+2400000)]]+2400000</f>
        <v>2456644.7179999999</v>
      </c>
      <c r="G378" s="113">
        <v>0.1</v>
      </c>
      <c r="H378" s="114" t="s">
        <v>24</v>
      </c>
      <c r="I378" s="111" t="s">
        <v>122</v>
      </c>
      <c r="J378" s="111" t="s">
        <v>26</v>
      </c>
      <c r="K378" s="111" t="s">
        <v>27</v>
      </c>
      <c r="L378" s="111" t="s">
        <v>27</v>
      </c>
      <c r="M378" s="111"/>
      <c r="N378" s="111"/>
    </row>
    <row r="379" spans="1:14" x14ac:dyDescent="0.25">
      <c r="A379" s="111" t="s">
        <v>251</v>
      </c>
      <c r="B379" s="111" t="s">
        <v>252</v>
      </c>
      <c r="C379" s="111" t="s">
        <v>23</v>
      </c>
      <c r="D379" s="111" t="str">
        <f>_xlfn.CONCAT(Tableau3[[#This Row],[N.Star]]," ",Tableau3[[#This Row],[Const.]])</f>
        <v>AW Per</v>
      </c>
      <c r="E379" s="112">
        <v>57032.534</v>
      </c>
      <c r="F379" s="112">
        <f>Tableau3[[#This Row],[ToM(+2400000)]]+2400000</f>
        <v>2457032.534</v>
      </c>
      <c r="G379" s="113">
        <v>0.1</v>
      </c>
      <c r="H379" s="114" t="s">
        <v>24</v>
      </c>
      <c r="I379" s="111" t="s">
        <v>122</v>
      </c>
      <c r="J379" s="111" t="s">
        <v>26</v>
      </c>
      <c r="K379" s="111" t="s">
        <v>27</v>
      </c>
      <c r="L379" s="111" t="s">
        <v>27</v>
      </c>
      <c r="M379" s="111"/>
      <c r="N379" s="111"/>
    </row>
    <row r="380" spans="1:14" x14ac:dyDescent="0.25">
      <c r="A380" s="111" t="s">
        <v>251</v>
      </c>
      <c r="B380" s="111" t="s">
        <v>252</v>
      </c>
      <c r="C380" s="111" t="s">
        <v>23</v>
      </c>
      <c r="D380" s="111" t="str">
        <f>_xlfn.CONCAT(Tableau3[[#This Row],[N.Star]]," ",Tableau3[[#This Row],[Const.]])</f>
        <v>AW Per</v>
      </c>
      <c r="E380" s="112">
        <v>57368.673000000003</v>
      </c>
      <c r="F380" s="112">
        <f>Tableau3[[#This Row],[ToM(+2400000)]]+2400000</f>
        <v>2457368.673</v>
      </c>
      <c r="G380" s="113">
        <v>0.1</v>
      </c>
      <c r="H380" s="114" t="s">
        <v>24</v>
      </c>
      <c r="I380" s="111" t="s">
        <v>122</v>
      </c>
      <c r="J380" s="111" t="s">
        <v>26</v>
      </c>
      <c r="K380" s="111" t="s">
        <v>27</v>
      </c>
      <c r="L380" s="111" t="s">
        <v>27</v>
      </c>
      <c r="M380" s="111"/>
      <c r="N380" s="111"/>
    </row>
    <row r="381" spans="1:14" x14ac:dyDescent="0.25">
      <c r="A381" s="111" t="s">
        <v>251</v>
      </c>
      <c r="B381" s="111" t="s">
        <v>252</v>
      </c>
      <c r="C381" s="111" t="s">
        <v>23</v>
      </c>
      <c r="D381" s="111" t="str">
        <f>_xlfn.CONCAT(Tableau3[[#This Row],[N.Star]]," ",Tableau3[[#This Row],[Const.]])</f>
        <v>AW Per</v>
      </c>
      <c r="E381" s="112">
        <v>59210.78</v>
      </c>
      <c r="F381" s="112">
        <f>Tableau3[[#This Row],[ToM(+2400000)]]+2400000</f>
        <v>2459210.7799999998</v>
      </c>
      <c r="G381" s="115">
        <v>0.06</v>
      </c>
      <c r="H381" s="114" t="s">
        <v>24</v>
      </c>
      <c r="I381" s="111" t="s">
        <v>25</v>
      </c>
      <c r="J381" s="111" t="s">
        <v>26</v>
      </c>
      <c r="K381" s="111" t="s">
        <v>169</v>
      </c>
      <c r="L381" s="111" t="s">
        <v>253</v>
      </c>
      <c r="M381" s="111"/>
      <c r="N381" s="111" t="s">
        <v>39</v>
      </c>
    </row>
    <row r="382" spans="1:14" x14ac:dyDescent="0.25">
      <c r="A382" s="111" t="s">
        <v>251</v>
      </c>
      <c r="B382" s="111" t="s">
        <v>252</v>
      </c>
      <c r="C382" s="111" t="s">
        <v>23</v>
      </c>
      <c r="D382" s="111" t="str">
        <f>_xlfn.CONCAT(Tableau3[[#This Row],[N.Star]]," ",Tableau3[[#This Row],[Const.]])</f>
        <v>AW Per</v>
      </c>
      <c r="E382" s="112">
        <v>59605.29</v>
      </c>
      <c r="F382" s="112">
        <f>Tableau3[[#This Row],[ToM(+2400000)]]+2400000</f>
        <v>2459605.29</v>
      </c>
      <c r="G382" s="115">
        <v>0.13</v>
      </c>
      <c r="H382" s="114" t="s">
        <v>24</v>
      </c>
      <c r="I382" s="111" t="s">
        <v>25</v>
      </c>
      <c r="J382" s="111" t="s">
        <v>26</v>
      </c>
      <c r="K382" s="111" t="s">
        <v>170</v>
      </c>
      <c r="L382" s="111" t="s">
        <v>253</v>
      </c>
      <c r="M382" s="111"/>
      <c r="N382" s="111" t="s">
        <v>39</v>
      </c>
    </row>
    <row r="383" spans="1:14" x14ac:dyDescent="0.25">
      <c r="A383" s="111" t="s">
        <v>251</v>
      </c>
      <c r="B383" s="111" t="s">
        <v>252</v>
      </c>
      <c r="C383" s="111" t="s">
        <v>23</v>
      </c>
      <c r="D383" s="111" t="str">
        <f>_xlfn.CONCAT(Tableau3[[#This Row],[N.Star]]," ",Tableau3[[#This Row],[Const.]])</f>
        <v>AW Per</v>
      </c>
      <c r="E383" s="112">
        <v>59870.2</v>
      </c>
      <c r="F383" s="112">
        <f>Tableau3[[#This Row],[ToM(+2400000)]]+2400000</f>
        <v>2459870.2000000002</v>
      </c>
      <c r="G383" s="115">
        <v>7.0000000000000007E-2</v>
      </c>
      <c r="H383" s="114" t="s">
        <v>24</v>
      </c>
      <c r="I383" s="111" t="s">
        <v>25</v>
      </c>
      <c r="J383" s="111" t="s">
        <v>26</v>
      </c>
      <c r="K383" s="111" t="s">
        <v>171</v>
      </c>
      <c r="L383" s="111" t="s">
        <v>253</v>
      </c>
      <c r="M383" s="111"/>
      <c r="N383" s="111" t="s">
        <v>39</v>
      </c>
    </row>
    <row r="384" spans="1:14" x14ac:dyDescent="0.25">
      <c r="A384" t="s">
        <v>251</v>
      </c>
      <c r="B384" t="s">
        <v>254</v>
      </c>
      <c r="C384" t="s">
        <v>23</v>
      </c>
      <c r="D384" t="str">
        <f>_xlfn.CONCAT(Tableau3[[#This Row],[N.Star]]," ",Tableau3[[#This Row],[Const.]])</f>
        <v>SV Per</v>
      </c>
      <c r="E384" s="8">
        <v>43216.47</v>
      </c>
      <c r="F384" s="8">
        <f>Tableau3[[#This Row],[ToM(+2400000)]]+2400000</f>
        <v>2443216.4700000002</v>
      </c>
      <c r="G384" s="34">
        <v>0.15</v>
      </c>
      <c r="H384" s="3" t="s">
        <v>24</v>
      </c>
      <c r="I384" t="s">
        <v>37</v>
      </c>
      <c r="J384" t="s">
        <v>26</v>
      </c>
      <c r="K384" t="s">
        <v>52</v>
      </c>
      <c r="L384" t="s">
        <v>238</v>
      </c>
    </row>
    <row r="385" spans="1:14" x14ac:dyDescent="0.25">
      <c r="A385" t="s">
        <v>251</v>
      </c>
      <c r="B385" t="s">
        <v>201</v>
      </c>
      <c r="C385" t="s">
        <v>23</v>
      </c>
      <c r="D385" t="str">
        <f>_xlfn.CONCAT(Tableau3[[#This Row],[N.Star]]," ",Tableau3[[#This Row],[Const.]])</f>
        <v>VX Per</v>
      </c>
      <c r="E385" s="8">
        <v>59541.623</v>
      </c>
      <c r="F385" s="8">
        <f>Tableau3[[#This Row],[ToM(+2400000)]]+2400000</f>
        <v>2459541.6230000001</v>
      </c>
      <c r="G385" s="34">
        <v>0.05</v>
      </c>
      <c r="H385" s="3" t="s">
        <v>24</v>
      </c>
      <c r="I385" t="s">
        <v>25</v>
      </c>
      <c r="J385" t="s">
        <v>26</v>
      </c>
      <c r="K385" t="s">
        <v>255</v>
      </c>
      <c r="L385" t="s">
        <v>193</v>
      </c>
    </row>
    <row r="386" spans="1:14" x14ac:dyDescent="0.25">
      <c r="A386" t="s">
        <v>251</v>
      </c>
      <c r="B386" t="s">
        <v>201</v>
      </c>
      <c r="C386" t="s">
        <v>23</v>
      </c>
      <c r="D386" t="str">
        <f>_xlfn.CONCAT(Tableau3[[#This Row],[N.Star]]," ",Tableau3[[#This Row],[Const.]])</f>
        <v>VX Per</v>
      </c>
      <c r="E386" s="8">
        <v>59792.016000000003</v>
      </c>
      <c r="F386" s="8">
        <f>Tableau3[[#This Row],[ToM(+2400000)]]+2400000</f>
        <v>2459792.0159999998</v>
      </c>
      <c r="G386" s="34">
        <v>0.05</v>
      </c>
      <c r="H386" s="3" t="s">
        <v>24</v>
      </c>
      <c r="I386" t="s">
        <v>25</v>
      </c>
      <c r="J386" t="s">
        <v>26</v>
      </c>
      <c r="K386" t="s">
        <v>255</v>
      </c>
      <c r="L386" t="s">
        <v>193</v>
      </c>
    </row>
    <row r="387" spans="1:14" x14ac:dyDescent="0.25">
      <c r="A387" s="54" t="s">
        <v>256</v>
      </c>
      <c r="B387" s="54" t="s">
        <v>257</v>
      </c>
      <c r="C387" s="54" t="s">
        <v>23</v>
      </c>
      <c r="D387" s="54" t="str">
        <f>_xlfn.CONCAT(Tableau3[[#This Row],[N.Star]]," ",Tableau3[[#This Row],[Const.]])</f>
        <v>S Sge</v>
      </c>
      <c r="E387" s="57">
        <v>42628.68</v>
      </c>
      <c r="F387" s="57">
        <f>Tableau3[[#This Row],[ToM(+2400000)]]+2400000</f>
        <v>2442628.6800000002</v>
      </c>
      <c r="G387" s="55">
        <v>0.15</v>
      </c>
      <c r="H387" s="56" t="s">
        <v>24</v>
      </c>
      <c r="I387" s="54" t="s">
        <v>31</v>
      </c>
      <c r="J387" s="54" t="s">
        <v>26</v>
      </c>
      <c r="K387" s="54" t="s">
        <v>32</v>
      </c>
      <c r="L387" s="54" t="s">
        <v>184</v>
      </c>
      <c r="M387" s="54"/>
      <c r="N387" s="54" t="s">
        <v>34</v>
      </c>
    </row>
    <row r="388" spans="1:14" x14ac:dyDescent="0.25">
      <c r="A388" s="54" t="s">
        <v>256</v>
      </c>
      <c r="B388" s="54" t="s">
        <v>257</v>
      </c>
      <c r="C388" s="54" t="s">
        <v>23</v>
      </c>
      <c r="D388" s="54" t="str">
        <f>_xlfn.CONCAT(Tableau3[[#This Row],[N.Star]]," ",Tableau3[[#This Row],[Const.]])</f>
        <v>S Sge</v>
      </c>
      <c r="E388" s="57">
        <v>42896.77</v>
      </c>
      <c r="F388" s="57">
        <f>Tableau3[[#This Row],[ToM(+2400000)]]+2400000</f>
        <v>2442896.77</v>
      </c>
      <c r="G388" s="55">
        <v>0.15</v>
      </c>
      <c r="H388" s="56" t="s">
        <v>24</v>
      </c>
      <c r="I388" s="54" t="s">
        <v>102</v>
      </c>
      <c r="J388" s="54" t="s">
        <v>26</v>
      </c>
      <c r="K388" s="54" t="s">
        <v>52</v>
      </c>
      <c r="L388" s="54" t="s">
        <v>238</v>
      </c>
      <c r="M388" s="54"/>
      <c r="N388" s="54"/>
    </row>
    <row r="389" spans="1:14" x14ac:dyDescent="0.25">
      <c r="A389" s="54" t="s">
        <v>256</v>
      </c>
      <c r="B389" s="54" t="s">
        <v>257</v>
      </c>
      <c r="C389" s="54" t="s">
        <v>23</v>
      </c>
      <c r="D389" s="54" t="str">
        <f>_xlfn.CONCAT(Tableau3[[#This Row],[N.Star]]," ",Tableau3[[#This Row],[Const.]])</f>
        <v>S Sge</v>
      </c>
      <c r="E389" s="57">
        <v>42955.68</v>
      </c>
      <c r="F389" s="57">
        <f>Tableau3[[#This Row],[ToM(+2400000)]]+2400000</f>
        <v>2442955.6800000002</v>
      </c>
      <c r="G389" s="55">
        <v>0.15</v>
      </c>
      <c r="H389" s="56" t="s">
        <v>24</v>
      </c>
      <c r="I389" s="54" t="s">
        <v>47</v>
      </c>
      <c r="J389" s="54" t="s">
        <v>26</v>
      </c>
      <c r="K389" s="54" t="s">
        <v>40</v>
      </c>
      <c r="L389" s="54" t="s">
        <v>41</v>
      </c>
      <c r="M389" s="54"/>
      <c r="N389" s="54"/>
    </row>
    <row r="390" spans="1:14" x14ac:dyDescent="0.25">
      <c r="A390" s="54" t="s">
        <v>256</v>
      </c>
      <c r="B390" s="54" t="s">
        <v>257</v>
      </c>
      <c r="C390" s="54" t="s">
        <v>23</v>
      </c>
      <c r="D390" s="54" t="str">
        <f>_xlfn.CONCAT(Tableau3[[#This Row],[N.Star]]," ",Tableau3[[#This Row],[Const.]])</f>
        <v>S Sge</v>
      </c>
      <c r="E390" s="57">
        <v>43039.25</v>
      </c>
      <c r="F390" s="57">
        <f>Tableau3[[#This Row],[ToM(+2400000)]]+2400000</f>
        <v>2443039.25</v>
      </c>
      <c r="G390" s="55">
        <v>0.15</v>
      </c>
      <c r="H390" s="56" t="s">
        <v>24</v>
      </c>
      <c r="I390" s="54" t="s">
        <v>70</v>
      </c>
      <c r="J390" s="54" t="s">
        <v>26</v>
      </c>
      <c r="K390" s="54" t="s">
        <v>52</v>
      </c>
      <c r="L390" s="54" t="s">
        <v>238</v>
      </c>
      <c r="M390" s="54"/>
      <c r="N390" s="54"/>
    </row>
    <row r="391" spans="1:14" x14ac:dyDescent="0.25">
      <c r="A391" s="54" t="s">
        <v>256</v>
      </c>
      <c r="B391" s="54" t="s">
        <v>257</v>
      </c>
      <c r="C391" s="54" t="s">
        <v>23</v>
      </c>
      <c r="D391" s="54" t="str">
        <f>_xlfn.CONCAT(Tableau3[[#This Row],[N.Star]]," ",Tableau3[[#This Row],[Const.]])</f>
        <v>S Sge</v>
      </c>
      <c r="E391" s="57">
        <v>43408.19</v>
      </c>
      <c r="F391" s="57">
        <f>Tableau3[[#This Row],[ToM(+2400000)]]+2400000</f>
        <v>2443408.19</v>
      </c>
      <c r="G391" s="55">
        <v>0.15</v>
      </c>
      <c r="H391" s="56" t="s">
        <v>24</v>
      </c>
      <c r="I391" s="54" t="s">
        <v>42</v>
      </c>
      <c r="J391" s="54" t="s">
        <v>26</v>
      </c>
      <c r="K391" s="54" t="s">
        <v>52</v>
      </c>
      <c r="L391" s="54" t="s">
        <v>238</v>
      </c>
      <c r="M391" s="54"/>
      <c r="N391" s="54"/>
    </row>
    <row r="392" spans="1:14" x14ac:dyDescent="0.25">
      <c r="A392" s="54" t="s">
        <v>256</v>
      </c>
      <c r="B392" s="54" t="s">
        <v>257</v>
      </c>
      <c r="C392" s="54" t="s">
        <v>23</v>
      </c>
      <c r="D392" s="54" t="str">
        <f>_xlfn.CONCAT(Tableau3[[#This Row],[N.Star]]," ",Tableau3[[#This Row],[Const.]])</f>
        <v>S Sge</v>
      </c>
      <c r="E392" s="57">
        <v>44128.803</v>
      </c>
      <c r="F392" s="57">
        <f>Tableau3[[#This Row],[ToM(+2400000)]]+2400000</f>
        <v>2444128.8029999998</v>
      </c>
      <c r="G392" s="55">
        <v>0.1</v>
      </c>
      <c r="H392" s="56" t="s">
        <v>24</v>
      </c>
      <c r="I392" s="54" t="s">
        <v>25</v>
      </c>
      <c r="J392" s="54" t="s">
        <v>26</v>
      </c>
      <c r="K392" s="54" t="s">
        <v>27</v>
      </c>
      <c r="L392" s="54" t="s">
        <v>27</v>
      </c>
      <c r="M392" s="54"/>
      <c r="N392" s="54" t="s">
        <v>39</v>
      </c>
    </row>
    <row r="393" spans="1:14" x14ac:dyDescent="0.25">
      <c r="A393" s="54" t="s">
        <v>256</v>
      </c>
      <c r="B393" s="54" t="s">
        <v>257</v>
      </c>
      <c r="C393" s="54" t="s">
        <v>23</v>
      </c>
      <c r="D393" s="54" t="str">
        <f>_xlfn.CONCAT(Tableau3[[#This Row],[N.Star]]," ",Tableau3[[#This Row],[Const.]])</f>
        <v>S Sge</v>
      </c>
      <c r="E393" s="57">
        <v>44842.55</v>
      </c>
      <c r="F393" s="57">
        <f>Tableau3[[#This Row],[ToM(+2400000)]]+2400000</f>
        <v>2444842.5499999998</v>
      </c>
      <c r="G393" s="55">
        <v>0.3</v>
      </c>
      <c r="H393" s="56" t="s">
        <v>24</v>
      </c>
      <c r="I393" s="54" t="s">
        <v>25</v>
      </c>
      <c r="J393" s="54" t="s">
        <v>26</v>
      </c>
      <c r="K393" s="54" t="s">
        <v>27</v>
      </c>
      <c r="L393" s="54" t="s">
        <v>27</v>
      </c>
      <c r="M393" s="54"/>
      <c r="N393" s="54" t="s">
        <v>39</v>
      </c>
    </row>
    <row r="394" spans="1:14" x14ac:dyDescent="0.25">
      <c r="A394" s="54" t="s">
        <v>256</v>
      </c>
      <c r="B394" s="54" t="s">
        <v>257</v>
      </c>
      <c r="C394" s="54" t="s">
        <v>23</v>
      </c>
      <c r="D394" s="54" t="str">
        <f>_xlfn.CONCAT(Tableau3[[#This Row],[N.Star]]," ",Tableau3[[#This Row],[Const.]])</f>
        <v>S Sge</v>
      </c>
      <c r="E394" s="116">
        <v>45044</v>
      </c>
      <c r="F394" s="116">
        <f>Tableau3[[#This Row],[ToM(+2400000)]]+2400000</f>
        <v>2445044</v>
      </c>
      <c r="G394" s="55">
        <v>0.15</v>
      </c>
      <c r="H394" s="56" t="s">
        <v>24</v>
      </c>
      <c r="I394" s="54" t="s">
        <v>208</v>
      </c>
      <c r="J394" s="54" t="s">
        <v>26</v>
      </c>
      <c r="K394" s="54"/>
      <c r="L394" s="54" t="s">
        <v>27</v>
      </c>
      <c r="M394" s="54"/>
      <c r="N394" s="54" t="s">
        <v>39</v>
      </c>
    </row>
    <row r="395" spans="1:14" x14ac:dyDescent="0.25">
      <c r="A395" s="54" t="s">
        <v>256</v>
      </c>
      <c r="B395" s="54" t="s">
        <v>257</v>
      </c>
      <c r="C395" s="54" t="s">
        <v>23</v>
      </c>
      <c r="D395" s="54" t="str">
        <f>_xlfn.CONCAT(Tableau3[[#This Row],[N.Star]]," ",Tableau3[[#This Row],[Const.]])</f>
        <v>S Sge</v>
      </c>
      <c r="E395" s="116">
        <v>46479</v>
      </c>
      <c r="F395" s="116">
        <f>Tableau3[[#This Row],[ToM(+2400000)]]+2400000</f>
        <v>2446479</v>
      </c>
      <c r="G395" s="55">
        <v>0.15</v>
      </c>
      <c r="H395" s="56" t="s">
        <v>24</v>
      </c>
      <c r="I395" s="54" t="s">
        <v>208</v>
      </c>
      <c r="J395" s="54" t="s">
        <v>26</v>
      </c>
      <c r="K395" s="54"/>
      <c r="L395" s="54" t="s">
        <v>27</v>
      </c>
      <c r="M395" s="54"/>
      <c r="N395" s="54" t="s">
        <v>39</v>
      </c>
    </row>
    <row r="396" spans="1:14" x14ac:dyDescent="0.25">
      <c r="A396" s="54" t="s">
        <v>256</v>
      </c>
      <c r="B396" s="54" t="s">
        <v>257</v>
      </c>
      <c r="C396" s="54" t="s">
        <v>23</v>
      </c>
      <c r="D396" s="54" t="str">
        <f>_xlfn.CONCAT(Tableau3[[#This Row],[N.Star]]," ",Tableau3[[#This Row],[Const.]])</f>
        <v>S Sge</v>
      </c>
      <c r="E396" s="57">
        <v>47406.54</v>
      </c>
      <c r="F396" s="57">
        <f>Tableau3[[#This Row],[ToM(+2400000)]]+2400000</f>
        <v>2447406.54</v>
      </c>
      <c r="G396" s="55">
        <v>0.25</v>
      </c>
      <c r="H396" s="56" t="s">
        <v>24</v>
      </c>
      <c r="I396" s="54" t="s">
        <v>48</v>
      </c>
      <c r="J396" s="54" t="s">
        <v>26</v>
      </c>
      <c r="K396" s="54" t="s">
        <v>57</v>
      </c>
      <c r="L396" s="54" t="s">
        <v>258</v>
      </c>
      <c r="M396" s="54"/>
      <c r="N396" s="54"/>
    </row>
    <row r="397" spans="1:14" x14ac:dyDescent="0.25">
      <c r="A397" s="54" t="s">
        <v>256</v>
      </c>
      <c r="B397" s="54" t="s">
        <v>257</v>
      </c>
      <c r="C397" s="54" t="s">
        <v>23</v>
      </c>
      <c r="D397" s="54" t="str">
        <f>_xlfn.CONCAT(Tableau3[[#This Row],[N.Star]]," ",Tableau3[[#This Row],[Const.]])</f>
        <v>S Sge</v>
      </c>
      <c r="E397" s="57">
        <v>48160.71</v>
      </c>
      <c r="F397" s="57">
        <f>Tableau3[[#This Row],[ToM(+2400000)]]+2400000</f>
        <v>2448160.71</v>
      </c>
      <c r="G397" s="55">
        <v>0.17</v>
      </c>
      <c r="H397" s="56" t="s">
        <v>24</v>
      </c>
      <c r="I397" s="54" t="s">
        <v>42</v>
      </c>
      <c r="J397" s="54" t="s">
        <v>26</v>
      </c>
      <c r="K397" s="54" t="s">
        <v>62</v>
      </c>
      <c r="L397" s="54" t="s">
        <v>63</v>
      </c>
      <c r="M397" s="54"/>
      <c r="N397" s="54"/>
    </row>
    <row r="398" spans="1:14" x14ac:dyDescent="0.25">
      <c r="A398" s="54" t="s">
        <v>256</v>
      </c>
      <c r="B398" s="54" t="s">
        <v>257</v>
      </c>
      <c r="C398" s="54" t="s">
        <v>23</v>
      </c>
      <c r="D398" s="54" t="str">
        <f>_xlfn.CONCAT(Tableau3[[#This Row],[N.Star]]," ",Tableau3[[#This Row],[Const.]])</f>
        <v>S Sge</v>
      </c>
      <c r="E398" s="116">
        <v>48480</v>
      </c>
      <c r="F398" s="116">
        <f>Tableau3[[#This Row],[ToM(+2400000)]]+2400000</f>
        <v>2448480</v>
      </c>
      <c r="G398" s="55">
        <v>0.15</v>
      </c>
      <c r="H398" s="56" t="s">
        <v>24</v>
      </c>
      <c r="I398" s="54" t="s">
        <v>208</v>
      </c>
      <c r="J398" s="54" t="s">
        <v>26</v>
      </c>
      <c r="K398" s="54"/>
      <c r="L398" s="54" t="s">
        <v>27</v>
      </c>
      <c r="M398" s="54"/>
      <c r="N398" s="54" t="s">
        <v>39</v>
      </c>
    </row>
    <row r="399" spans="1:14" x14ac:dyDescent="0.25">
      <c r="A399" s="54" t="s">
        <v>256</v>
      </c>
      <c r="B399" s="54" t="s">
        <v>257</v>
      </c>
      <c r="C399" s="54" t="s">
        <v>23</v>
      </c>
      <c r="D399" s="54" t="str">
        <f>_xlfn.CONCAT(Tableau3[[#This Row],[N.Star]]," ",Tableau3[[#This Row],[Const.]])</f>
        <v>S Sge</v>
      </c>
      <c r="E399" s="116">
        <v>50175</v>
      </c>
      <c r="F399" s="116">
        <f>Tableau3[[#This Row],[ToM(+2400000)]]+2400000</f>
        <v>2450175</v>
      </c>
      <c r="G399" s="55">
        <v>0.15</v>
      </c>
      <c r="H399" s="56" t="s">
        <v>24</v>
      </c>
      <c r="I399" s="54" t="s">
        <v>208</v>
      </c>
      <c r="J399" s="54" t="s">
        <v>26</v>
      </c>
      <c r="K399" s="54"/>
      <c r="L399" s="54" t="s">
        <v>27</v>
      </c>
      <c r="M399" s="54"/>
      <c r="N399" s="54" t="s">
        <v>39</v>
      </c>
    </row>
    <row r="400" spans="1:14" x14ac:dyDescent="0.25">
      <c r="A400" s="117" t="s">
        <v>256</v>
      </c>
      <c r="B400" s="54" t="s">
        <v>257</v>
      </c>
      <c r="C400" s="54" t="s">
        <v>23</v>
      </c>
      <c r="D400" s="54" t="str">
        <f>_xlfn.CONCAT(Tableau3[[#This Row],[N.Star]]," ",Tableau3[[#This Row],[Const.]])</f>
        <v>S Sge</v>
      </c>
      <c r="E400" s="116">
        <v>55209</v>
      </c>
      <c r="F400" s="116">
        <f>Tableau3[[#This Row],[ToM(+2400000)]]+2400000</f>
        <v>2455209</v>
      </c>
      <c r="G400" s="55">
        <v>0.15</v>
      </c>
      <c r="H400" s="56" t="s">
        <v>24</v>
      </c>
      <c r="I400" s="54" t="s">
        <v>208</v>
      </c>
      <c r="J400" s="54" t="s">
        <v>26</v>
      </c>
      <c r="K400" s="54"/>
      <c r="L400" s="54" t="s">
        <v>27</v>
      </c>
      <c r="M400" s="54"/>
      <c r="N400" s="54" t="s">
        <v>39</v>
      </c>
    </row>
    <row r="401" spans="1:14" x14ac:dyDescent="0.25">
      <c r="A401" s="54" t="s">
        <v>256</v>
      </c>
      <c r="B401" s="54" t="s">
        <v>257</v>
      </c>
      <c r="C401" s="54" t="s">
        <v>23</v>
      </c>
      <c r="D401" s="54" t="str">
        <f>_xlfn.CONCAT(Tableau3[[#This Row],[N.Star]]," ",Tableau3[[#This Row],[Const.]])</f>
        <v>S Sge</v>
      </c>
      <c r="E401" s="57">
        <v>59108.519</v>
      </c>
      <c r="F401" s="57">
        <f>Tableau3[[#This Row],[ToM(+2400000)]]+2400000</f>
        <v>2459108.5189999999</v>
      </c>
      <c r="G401" s="55">
        <v>0.15</v>
      </c>
      <c r="H401" s="56" t="s">
        <v>24</v>
      </c>
      <c r="I401" s="54" t="s">
        <v>25</v>
      </c>
      <c r="J401" s="54" t="s">
        <v>26</v>
      </c>
      <c r="K401" s="54" t="s">
        <v>169</v>
      </c>
      <c r="L401" s="54" t="s">
        <v>27</v>
      </c>
      <c r="M401" s="54"/>
      <c r="N401" s="54" t="s">
        <v>39</v>
      </c>
    </row>
    <row r="402" spans="1:14" x14ac:dyDescent="0.25">
      <c r="A402" s="54" t="s">
        <v>256</v>
      </c>
      <c r="B402" s="54" t="s">
        <v>257</v>
      </c>
      <c r="C402" s="54" t="s">
        <v>23</v>
      </c>
      <c r="D402" s="54" t="str">
        <f>_xlfn.CONCAT(Tableau3[[#This Row],[N.Star]]," ",Tableau3[[#This Row],[Const.]])</f>
        <v>S Sge</v>
      </c>
      <c r="E402" s="57">
        <v>59342.923999999999</v>
      </c>
      <c r="F402" s="57">
        <f>Tableau3[[#This Row],[ToM(+2400000)]]+2400000</f>
        <v>2459342.9240000001</v>
      </c>
      <c r="G402" s="55">
        <v>0.15</v>
      </c>
      <c r="H402" s="56" t="s">
        <v>24</v>
      </c>
      <c r="I402" s="54" t="s">
        <v>25</v>
      </c>
      <c r="J402" s="54" t="s">
        <v>26</v>
      </c>
      <c r="K402" s="54" t="s">
        <v>170</v>
      </c>
      <c r="L402" s="54" t="s">
        <v>27</v>
      </c>
      <c r="M402" s="54"/>
      <c r="N402" s="54" t="s">
        <v>39</v>
      </c>
    </row>
    <row r="403" spans="1:14" x14ac:dyDescent="0.25">
      <c r="A403" s="54" t="s">
        <v>256</v>
      </c>
      <c r="B403" s="54" t="s">
        <v>257</v>
      </c>
      <c r="C403" s="54" t="s">
        <v>23</v>
      </c>
      <c r="D403" s="54" t="str">
        <f>_xlfn.CONCAT(Tableau3[[#This Row],[N.Star]]," ",Tableau3[[#This Row],[Const.]])</f>
        <v>S Sge</v>
      </c>
      <c r="E403" s="57">
        <v>59803.896999999997</v>
      </c>
      <c r="F403" s="57">
        <f>Tableau3[[#This Row],[ToM(+2400000)]]+2400000</f>
        <v>2459803.8969999999</v>
      </c>
      <c r="G403" s="55">
        <v>0.15</v>
      </c>
      <c r="H403" s="56" t="s">
        <v>24</v>
      </c>
      <c r="I403" s="54" t="s">
        <v>25</v>
      </c>
      <c r="J403" s="54" t="s">
        <v>26</v>
      </c>
      <c r="K403" s="54" t="s">
        <v>171</v>
      </c>
      <c r="L403" s="54" t="s">
        <v>27</v>
      </c>
      <c r="M403" s="54"/>
      <c r="N403" s="54" t="s">
        <v>39</v>
      </c>
    </row>
    <row r="404" spans="1:14" x14ac:dyDescent="0.25">
      <c r="A404" s="54" t="s">
        <v>256</v>
      </c>
      <c r="B404" s="54" t="s">
        <v>257</v>
      </c>
      <c r="C404" s="54" t="s">
        <v>23</v>
      </c>
      <c r="D404" s="54" t="str">
        <f>_xlfn.CONCAT(Tableau3[[#This Row],[N.Star]]," ",Tableau3[[#This Row],[Const.]])</f>
        <v>S Sge</v>
      </c>
      <c r="E404" s="57">
        <v>60558.62</v>
      </c>
      <c r="F404" s="57">
        <f>Tableau3[[#This Row],[ToM(+2400000)]]+2400000</f>
        <v>2460558.62</v>
      </c>
      <c r="G404" s="55">
        <v>0.2</v>
      </c>
      <c r="H404" s="56" t="s">
        <v>24</v>
      </c>
      <c r="I404" s="54" t="s">
        <v>25</v>
      </c>
      <c r="J404" s="54" t="s">
        <v>26</v>
      </c>
      <c r="K404" s="54" t="s">
        <v>689</v>
      </c>
      <c r="L404" s="54" t="s">
        <v>27</v>
      </c>
      <c r="M404" s="54"/>
      <c r="N404" s="54"/>
    </row>
    <row r="405" spans="1:14" x14ac:dyDescent="0.25">
      <c r="A405" t="s">
        <v>259</v>
      </c>
      <c r="B405" t="s">
        <v>260</v>
      </c>
      <c r="C405" t="s">
        <v>23</v>
      </c>
      <c r="D405" t="str">
        <f>_xlfn.CONCAT(Tableau3[[#This Row],[N.Star]]," ",Tableau3[[#This Row],[Const.]])</f>
        <v>ST Tau</v>
      </c>
      <c r="E405" s="8">
        <v>59811.347999999998</v>
      </c>
      <c r="F405" s="8">
        <f>Tableau3[[#This Row],[ToM(+2400000)]]+2400000</f>
        <v>2459811.3480000002</v>
      </c>
      <c r="G405" s="34">
        <v>0.15</v>
      </c>
      <c r="H405" s="3" t="s">
        <v>24</v>
      </c>
      <c r="I405" t="s">
        <v>25</v>
      </c>
      <c r="J405" t="s">
        <v>26</v>
      </c>
      <c r="K405" t="s">
        <v>171</v>
      </c>
      <c r="L405" t="s">
        <v>27</v>
      </c>
      <c r="N405" t="s">
        <v>39</v>
      </c>
    </row>
    <row r="406" spans="1:14" x14ac:dyDescent="0.25">
      <c r="A406" s="67" t="s">
        <v>259</v>
      </c>
      <c r="B406" s="67" t="s">
        <v>67</v>
      </c>
      <c r="C406" s="67" t="s">
        <v>23</v>
      </c>
      <c r="D406" s="67" t="str">
        <f>_xlfn.CONCAT(Tableau3[[#This Row],[N.Star]]," ",Tableau3[[#This Row],[Const.]])</f>
        <v>SZ Tau</v>
      </c>
      <c r="E406" s="75">
        <v>42815.03</v>
      </c>
      <c r="F406" s="75">
        <f>Tableau3[[#This Row],[ToM(+2400000)]]+2400000</f>
        <v>2442815.0299999998</v>
      </c>
      <c r="G406" s="68">
        <v>0.15</v>
      </c>
      <c r="H406" s="69" t="s">
        <v>24</v>
      </c>
      <c r="I406" s="67" t="s">
        <v>70</v>
      </c>
      <c r="J406" s="67" t="s">
        <v>26</v>
      </c>
      <c r="K406" s="67" t="s">
        <v>32</v>
      </c>
      <c r="L406" s="67" t="s">
        <v>261</v>
      </c>
      <c r="M406" s="67"/>
      <c r="N406" s="67" t="s">
        <v>262</v>
      </c>
    </row>
    <row r="407" spans="1:14" x14ac:dyDescent="0.25">
      <c r="A407" s="67" t="s">
        <v>259</v>
      </c>
      <c r="B407" s="67" t="s">
        <v>67</v>
      </c>
      <c r="C407" s="67" t="s">
        <v>23</v>
      </c>
      <c r="D407" s="67" t="str">
        <f>_xlfn.CONCAT(Tableau3[[#This Row],[N.Star]]," ",Tableau3[[#This Row],[Const.]])</f>
        <v>SZ Tau</v>
      </c>
      <c r="E407" s="75">
        <v>43129.8</v>
      </c>
      <c r="F407" s="75">
        <f>Tableau3[[#This Row],[ToM(+2400000)]]+2400000</f>
        <v>2443129.7999999998</v>
      </c>
      <c r="G407" s="68">
        <v>0.15</v>
      </c>
      <c r="H407" s="69" t="s">
        <v>24</v>
      </c>
      <c r="I407" s="67" t="s">
        <v>38</v>
      </c>
      <c r="J407" s="67" t="s">
        <v>26</v>
      </c>
      <c r="K407" s="67" t="s">
        <v>27</v>
      </c>
      <c r="L407" s="67" t="s">
        <v>27</v>
      </c>
      <c r="M407" s="67"/>
      <c r="N407" s="67" t="s">
        <v>263</v>
      </c>
    </row>
    <row r="408" spans="1:14" x14ac:dyDescent="0.25">
      <c r="A408" s="67" t="s">
        <v>259</v>
      </c>
      <c r="B408" s="67" t="s">
        <v>67</v>
      </c>
      <c r="C408" s="67" t="s">
        <v>23</v>
      </c>
      <c r="D408" s="67" t="str">
        <f>_xlfn.CONCAT(Tableau3[[#This Row],[N.Star]]," ",Tableau3[[#This Row],[Const.]])</f>
        <v>SZ Tau</v>
      </c>
      <c r="E408" s="75">
        <v>44619.88</v>
      </c>
      <c r="F408" s="75">
        <f>Tableau3[[#This Row],[ToM(+2400000)]]+2400000</f>
        <v>2444619.88</v>
      </c>
      <c r="G408" s="68">
        <v>0.15</v>
      </c>
      <c r="H408" s="69" t="s">
        <v>24</v>
      </c>
      <c r="I408" s="67" t="s">
        <v>215</v>
      </c>
      <c r="J408" s="67" t="s">
        <v>26</v>
      </c>
      <c r="K408" s="67" t="s">
        <v>264</v>
      </c>
      <c r="L408" s="67" t="s">
        <v>265</v>
      </c>
      <c r="M408" s="67"/>
      <c r="N408" s="67"/>
    </row>
    <row r="409" spans="1:14" x14ac:dyDescent="0.25">
      <c r="A409" s="67" t="s">
        <v>259</v>
      </c>
      <c r="B409" s="67" t="s">
        <v>67</v>
      </c>
      <c r="C409" s="67" t="s">
        <v>23</v>
      </c>
      <c r="D409" s="67" t="str">
        <f>_xlfn.CONCAT(Tableau3[[#This Row],[N.Star]]," ",Tableau3[[#This Row],[Const.]])</f>
        <v>SZ Tau</v>
      </c>
      <c r="E409" s="75">
        <v>45557.59</v>
      </c>
      <c r="F409" s="75">
        <f>Tableau3[[#This Row],[ToM(+2400000)]]+2400000</f>
        <v>2445557.59</v>
      </c>
      <c r="G409" s="68">
        <v>0.15</v>
      </c>
      <c r="H409" s="69" t="s">
        <v>24</v>
      </c>
      <c r="I409" s="67" t="s">
        <v>25</v>
      </c>
      <c r="J409" s="67" t="s">
        <v>26</v>
      </c>
      <c r="K409" s="67" t="s">
        <v>27</v>
      </c>
      <c r="L409" s="67" t="s">
        <v>27</v>
      </c>
      <c r="M409" s="67"/>
      <c r="N409" s="67" t="s">
        <v>266</v>
      </c>
    </row>
    <row r="410" spans="1:14" x14ac:dyDescent="0.25">
      <c r="A410" s="67" t="s">
        <v>259</v>
      </c>
      <c r="B410" s="67" t="s">
        <v>67</v>
      </c>
      <c r="C410" s="67" t="s">
        <v>23</v>
      </c>
      <c r="D410" s="67" t="str">
        <f>_xlfn.CONCAT(Tableau3[[#This Row],[N.Star]]," ",Tableau3[[#This Row],[Const.]])</f>
        <v>SZ Tau</v>
      </c>
      <c r="E410" s="75">
        <v>45677.62</v>
      </c>
      <c r="F410" s="75">
        <f>Tableau3[[#This Row],[ToM(+2400000)]]+2400000</f>
        <v>2445677.62</v>
      </c>
      <c r="G410" s="68">
        <v>0.25</v>
      </c>
      <c r="H410" s="69" t="s">
        <v>24</v>
      </c>
      <c r="I410" s="67" t="s">
        <v>122</v>
      </c>
      <c r="J410" s="67" t="s">
        <v>26</v>
      </c>
      <c r="K410" s="67" t="s">
        <v>27</v>
      </c>
      <c r="L410" s="67" t="s">
        <v>27</v>
      </c>
      <c r="M410" s="67"/>
      <c r="N410" s="67" t="s">
        <v>39</v>
      </c>
    </row>
    <row r="411" spans="1:14" x14ac:dyDescent="0.25">
      <c r="A411" s="67" t="s">
        <v>259</v>
      </c>
      <c r="B411" s="67" t="s">
        <v>67</v>
      </c>
      <c r="C411" s="67" t="s">
        <v>23</v>
      </c>
      <c r="D411" s="67" t="str">
        <f>_xlfn.CONCAT(Tableau3[[#This Row],[N.Star]]," ",Tableau3[[#This Row],[Const.]])</f>
        <v>SZ Tau</v>
      </c>
      <c r="E411" s="75">
        <v>45954.82</v>
      </c>
      <c r="F411" s="75">
        <f>Tableau3[[#This Row],[ToM(+2400000)]]+2400000</f>
        <v>2445954.8199999998</v>
      </c>
      <c r="G411" s="68">
        <v>0.15</v>
      </c>
      <c r="H411" s="69" t="s">
        <v>24</v>
      </c>
      <c r="I411" s="67" t="s">
        <v>208</v>
      </c>
      <c r="J411" s="67" t="s">
        <v>26</v>
      </c>
      <c r="K411" s="67" t="s">
        <v>27</v>
      </c>
      <c r="L411" s="67" t="s">
        <v>27</v>
      </c>
      <c r="M411" s="67"/>
      <c r="N411" s="67" t="s">
        <v>39</v>
      </c>
    </row>
    <row r="412" spans="1:14" x14ac:dyDescent="0.25">
      <c r="A412" s="67" t="s">
        <v>259</v>
      </c>
      <c r="B412" s="67" t="s">
        <v>67</v>
      </c>
      <c r="C412" s="67" t="s">
        <v>23</v>
      </c>
      <c r="D412" s="67" t="str">
        <f>_xlfn.CONCAT(Tableau3[[#This Row],[N.Star]]," ",Tableau3[[#This Row],[Const.]])</f>
        <v>SZ Tau</v>
      </c>
      <c r="E412" s="75">
        <v>46039.95</v>
      </c>
      <c r="F412" s="75">
        <f>Tableau3[[#This Row],[ToM(+2400000)]]+2400000</f>
        <v>2446039.9500000002</v>
      </c>
      <c r="G412" s="68">
        <v>0.25</v>
      </c>
      <c r="H412" s="69" t="s">
        <v>24</v>
      </c>
      <c r="I412" s="67" t="s">
        <v>122</v>
      </c>
      <c r="J412" s="67" t="s">
        <v>26</v>
      </c>
      <c r="K412" s="67" t="s">
        <v>27</v>
      </c>
      <c r="L412" s="67" t="s">
        <v>27</v>
      </c>
      <c r="M412" s="67"/>
      <c r="N412" s="67" t="s">
        <v>39</v>
      </c>
    </row>
    <row r="413" spans="1:14" x14ac:dyDescent="0.25">
      <c r="A413" s="67" t="s">
        <v>259</v>
      </c>
      <c r="B413" s="67" t="s">
        <v>67</v>
      </c>
      <c r="C413" s="67" t="s">
        <v>23</v>
      </c>
      <c r="D413" s="67" t="str">
        <f>_xlfn.CONCAT(Tableau3[[#This Row],[N.Star]]," ",Tableau3[[#This Row],[Const.]])</f>
        <v>SZ Tau</v>
      </c>
      <c r="E413" s="75">
        <v>46316.91</v>
      </c>
      <c r="F413" s="75">
        <f>Tableau3[[#This Row],[ToM(+2400000)]]+2400000</f>
        <v>2446316.91</v>
      </c>
      <c r="G413" s="68">
        <v>0.15</v>
      </c>
      <c r="H413" s="69" t="s">
        <v>24</v>
      </c>
      <c r="I413" s="67" t="s">
        <v>208</v>
      </c>
      <c r="J413" s="67" t="s">
        <v>26</v>
      </c>
      <c r="K413" s="67" t="s">
        <v>27</v>
      </c>
      <c r="L413" s="67" t="s">
        <v>27</v>
      </c>
      <c r="M413" s="67"/>
      <c r="N413" s="67" t="s">
        <v>39</v>
      </c>
    </row>
    <row r="414" spans="1:14" x14ac:dyDescent="0.25">
      <c r="A414" s="67" t="s">
        <v>259</v>
      </c>
      <c r="B414" s="67" t="s">
        <v>67</v>
      </c>
      <c r="C414" s="67" t="s">
        <v>23</v>
      </c>
      <c r="D414" s="67" t="str">
        <f>_xlfn.CONCAT(Tableau3[[#This Row],[N.Star]]," ",Tableau3[[#This Row],[Const.]])</f>
        <v>SZ Tau</v>
      </c>
      <c r="E414" s="75">
        <v>47560.72</v>
      </c>
      <c r="F414" s="75">
        <f>Tableau3[[#This Row],[ToM(+2400000)]]+2400000</f>
        <v>2447560.7200000002</v>
      </c>
      <c r="G414" s="68">
        <v>0.15</v>
      </c>
      <c r="H414" s="69" t="s">
        <v>24</v>
      </c>
      <c r="I414" s="67" t="s">
        <v>208</v>
      </c>
      <c r="J414" s="67" t="s">
        <v>26</v>
      </c>
      <c r="K414" s="67" t="s">
        <v>27</v>
      </c>
      <c r="L414" s="67" t="s">
        <v>27</v>
      </c>
      <c r="M414" s="67"/>
      <c r="N414" s="67" t="s">
        <v>39</v>
      </c>
    </row>
    <row r="415" spans="1:14" x14ac:dyDescent="0.25">
      <c r="A415" s="67" t="s">
        <v>259</v>
      </c>
      <c r="B415" s="67" t="s">
        <v>67</v>
      </c>
      <c r="C415" s="67" t="s">
        <v>23</v>
      </c>
      <c r="D415" s="67" t="str">
        <f>_xlfn.CONCAT(Tableau3[[#This Row],[N.Star]]," ",Tableau3[[#This Row],[Const.]])</f>
        <v>SZ Tau</v>
      </c>
      <c r="E415" s="75">
        <v>47648.66</v>
      </c>
      <c r="F415" s="75">
        <f>Tableau3[[#This Row],[ToM(+2400000)]]+2400000</f>
        <v>2447648.66</v>
      </c>
      <c r="G415" s="68">
        <v>0.16</v>
      </c>
      <c r="H415" s="69" t="s">
        <v>24</v>
      </c>
      <c r="I415" s="67" t="s">
        <v>116</v>
      </c>
      <c r="J415" s="67" t="s">
        <v>26</v>
      </c>
      <c r="K415" s="67" t="s">
        <v>57</v>
      </c>
      <c r="L415" s="67" t="s">
        <v>191</v>
      </c>
      <c r="M415" s="67"/>
      <c r="N415" s="67"/>
    </row>
    <row r="416" spans="1:14" x14ac:dyDescent="0.25">
      <c r="A416" s="67" t="s">
        <v>259</v>
      </c>
      <c r="B416" s="67" t="s">
        <v>67</v>
      </c>
      <c r="C416" s="67" t="s">
        <v>23</v>
      </c>
      <c r="D416" s="67" t="str">
        <f>_xlfn.CONCAT(Tableau3[[#This Row],[N.Star]]," ",Tableau3[[#This Row],[Const.]])</f>
        <v>SZ Tau</v>
      </c>
      <c r="E416" s="75">
        <v>48234.48</v>
      </c>
      <c r="F416" s="75">
        <f>Tableau3[[#This Row],[ToM(+2400000)]]+2400000</f>
        <v>2448234.48</v>
      </c>
      <c r="G416" s="68">
        <v>0.15</v>
      </c>
      <c r="H416" s="69" t="s">
        <v>24</v>
      </c>
      <c r="I416" s="67" t="s">
        <v>208</v>
      </c>
      <c r="J416" s="67" t="s">
        <v>26</v>
      </c>
      <c r="K416" s="67" t="s">
        <v>27</v>
      </c>
      <c r="L416" s="67" t="s">
        <v>27</v>
      </c>
      <c r="M416" s="67"/>
      <c r="N416" s="67" t="s">
        <v>39</v>
      </c>
    </row>
    <row r="417" spans="1:14" x14ac:dyDescent="0.25">
      <c r="A417" s="67" t="s">
        <v>259</v>
      </c>
      <c r="B417" s="67" t="s">
        <v>67</v>
      </c>
      <c r="C417" s="67" t="s">
        <v>23</v>
      </c>
      <c r="D417" s="67" t="str">
        <f>_xlfn.CONCAT(Tableau3[[#This Row],[N.Star]]," ",Tableau3[[#This Row],[Const.]])</f>
        <v>SZ Tau</v>
      </c>
      <c r="E417" s="75">
        <v>49210.7</v>
      </c>
      <c r="F417" s="75">
        <f>Tableau3[[#This Row],[ToM(+2400000)]]+2400000</f>
        <v>2449210.7000000002</v>
      </c>
      <c r="G417" s="68">
        <v>0.15</v>
      </c>
      <c r="H417" s="69" t="s">
        <v>24</v>
      </c>
      <c r="I417" s="67" t="s">
        <v>208</v>
      </c>
      <c r="J417" s="67" t="s">
        <v>26</v>
      </c>
      <c r="K417" s="67" t="s">
        <v>27</v>
      </c>
      <c r="L417" s="67" t="s">
        <v>27</v>
      </c>
      <c r="M417" s="67"/>
      <c r="N417" s="67" t="s">
        <v>39</v>
      </c>
    </row>
    <row r="418" spans="1:14" x14ac:dyDescent="0.25">
      <c r="A418" s="67" t="s">
        <v>259</v>
      </c>
      <c r="B418" s="67" t="s">
        <v>67</v>
      </c>
      <c r="C418" s="67" t="s">
        <v>23</v>
      </c>
      <c r="D418" s="67" t="str">
        <f>_xlfn.CONCAT(Tableau3[[#This Row],[N.Star]]," ",Tableau3[[#This Row],[Const.]])</f>
        <v>SZ Tau</v>
      </c>
      <c r="E418" s="75">
        <v>49235.78</v>
      </c>
      <c r="F418" s="75">
        <f>Tableau3[[#This Row],[ToM(+2400000)]]+2400000</f>
        <v>2449235.7799999998</v>
      </c>
      <c r="G418" s="68">
        <v>0.15</v>
      </c>
      <c r="H418" s="69" t="s">
        <v>24</v>
      </c>
      <c r="I418" s="67" t="s">
        <v>56</v>
      </c>
      <c r="J418" s="67" t="s">
        <v>26</v>
      </c>
      <c r="K418" s="67" t="s">
        <v>27</v>
      </c>
      <c r="L418" s="67" t="s">
        <v>27</v>
      </c>
      <c r="M418" s="67"/>
      <c r="N418" s="67" t="s">
        <v>39</v>
      </c>
    </row>
    <row r="419" spans="1:14" x14ac:dyDescent="0.25">
      <c r="A419" s="67" t="s">
        <v>259</v>
      </c>
      <c r="B419" s="67" t="s">
        <v>67</v>
      </c>
      <c r="C419" s="67" t="s">
        <v>23</v>
      </c>
      <c r="D419" s="67" t="str">
        <f>_xlfn.CONCAT(Tableau3[[#This Row],[N.Star]]," ",Tableau3[[#This Row],[Const.]])</f>
        <v>SZ Tau</v>
      </c>
      <c r="E419" s="75">
        <v>49742.77</v>
      </c>
      <c r="F419" s="75">
        <f>Tableau3[[#This Row],[ToM(+2400000)]]+2400000</f>
        <v>2449742.77</v>
      </c>
      <c r="G419" s="68">
        <v>0.44</v>
      </c>
      <c r="H419" s="69" t="s">
        <v>24</v>
      </c>
      <c r="I419" s="67" t="s">
        <v>48</v>
      </c>
      <c r="J419" s="67" t="s">
        <v>26</v>
      </c>
      <c r="K419" s="67" t="s">
        <v>57</v>
      </c>
      <c r="L419" s="67" t="s">
        <v>267</v>
      </c>
      <c r="M419" s="67"/>
      <c r="N419" s="67"/>
    </row>
    <row r="420" spans="1:14" x14ac:dyDescent="0.25">
      <c r="A420" s="67" t="s">
        <v>259</v>
      </c>
      <c r="B420" s="67" t="s">
        <v>67</v>
      </c>
      <c r="C420" s="67" t="s">
        <v>23</v>
      </c>
      <c r="D420" s="67" t="str">
        <f>_xlfn.CONCAT(Tableau3[[#This Row],[N.Star]]," ",Tableau3[[#This Row],[Const.]])</f>
        <v>SZ Tau</v>
      </c>
      <c r="E420" s="75">
        <v>49878.184000000001</v>
      </c>
      <c r="F420" s="75">
        <f>Tableau3[[#This Row],[ToM(+2400000)]]+2400000</f>
        <v>2449878.1839999999</v>
      </c>
      <c r="G420" s="68">
        <v>0.15</v>
      </c>
      <c r="H420" s="69" t="s">
        <v>24</v>
      </c>
      <c r="I420" s="67" t="s">
        <v>56</v>
      </c>
      <c r="J420" s="67" t="s">
        <v>26</v>
      </c>
      <c r="K420" s="67" t="s">
        <v>27</v>
      </c>
      <c r="L420" s="67" t="s">
        <v>27</v>
      </c>
      <c r="M420" s="67"/>
      <c r="N420" s="67" t="s">
        <v>39</v>
      </c>
    </row>
    <row r="421" spans="1:14" x14ac:dyDescent="0.25">
      <c r="A421" s="67" t="s">
        <v>259</v>
      </c>
      <c r="B421" s="67" t="s">
        <v>67</v>
      </c>
      <c r="C421" s="67" t="s">
        <v>23</v>
      </c>
      <c r="D421" s="67" t="str">
        <f>_xlfn.CONCAT(Tableau3[[#This Row],[N.Star]]," ",Tableau3[[#This Row],[Const.]])</f>
        <v>SZ Tau</v>
      </c>
      <c r="E421" s="75">
        <v>50114.28</v>
      </c>
      <c r="F421" s="75">
        <f>Tableau3[[#This Row],[ToM(+2400000)]]+2400000</f>
        <v>2450114.2799999998</v>
      </c>
      <c r="G421" s="68">
        <v>0.15</v>
      </c>
      <c r="H421" s="69" t="s">
        <v>24</v>
      </c>
      <c r="I421" s="67" t="s">
        <v>208</v>
      </c>
      <c r="J421" s="67" t="s">
        <v>26</v>
      </c>
      <c r="K421" s="67" t="s">
        <v>27</v>
      </c>
      <c r="L421" s="67" t="s">
        <v>27</v>
      </c>
      <c r="M421" s="67"/>
      <c r="N421" s="67" t="s">
        <v>39</v>
      </c>
    </row>
    <row r="422" spans="1:14" x14ac:dyDescent="0.25">
      <c r="A422" s="67" t="s">
        <v>259</v>
      </c>
      <c r="B422" s="67" t="s">
        <v>67</v>
      </c>
      <c r="C422" s="67" t="s">
        <v>23</v>
      </c>
      <c r="D422" s="67" t="str">
        <f>_xlfn.CONCAT(Tableau3[[#This Row],[N.Star]]," ",Tableau3[[#This Row],[Const.]])</f>
        <v>SZ Tau</v>
      </c>
      <c r="E422" s="75">
        <v>50624.495999999999</v>
      </c>
      <c r="F422" s="75">
        <f>Tableau3[[#This Row],[ToM(+2400000)]]+2400000</f>
        <v>2450624.4959999998</v>
      </c>
      <c r="G422" s="68">
        <v>0.15</v>
      </c>
      <c r="H422" s="69" t="s">
        <v>24</v>
      </c>
      <c r="I422" s="67" t="s">
        <v>56</v>
      </c>
      <c r="J422" s="67" t="s">
        <v>26</v>
      </c>
      <c r="K422" s="67" t="s">
        <v>27</v>
      </c>
      <c r="L422" s="67" t="s">
        <v>27</v>
      </c>
      <c r="M422" s="67"/>
      <c r="N422" s="67" t="s">
        <v>39</v>
      </c>
    </row>
    <row r="423" spans="1:14" x14ac:dyDescent="0.25">
      <c r="A423" s="67" t="s">
        <v>259</v>
      </c>
      <c r="B423" s="67" t="s">
        <v>67</v>
      </c>
      <c r="C423" s="67" t="s">
        <v>23</v>
      </c>
      <c r="D423" s="67" t="str">
        <f>_xlfn.CONCAT(Tableau3[[#This Row],[N.Star]]," ",Tableau3[[#This Row],[Const.]])</f>
        <v>SZ Tau</v>
      </c>
      <c r="E423" s="75">
        <v>51421.125</v>
      </c>
      <c r="F423" s="75">
        <f>Tableau3[[#This Row],[ToM(+2400000)]]+2400000</f>
        <v>2451421.125</v>
      </c>
      <c r="G423" s="68">
        <v>0.15</v>
      </c>
      <c r="H423" s="69" t="s">
        <v>24</v>
      </c>
      <c r="I423" s="67" t="s">
        <v>56</v>
      </c>
      <c r="J423" s="67" t="s">
        <v>26</v>
      </c>
      <c r="K423" s="67" t="s">
        <v>27</v>
      </c>
      <c r="L423" s="67" t="s">
        <v>27</v>
      </c>
      <c r="M423" s="67"/>
      <c r="N423" s="67" t="s">
        <v>39</v>
      </c>
    </row>
    <row r="424" spans="1:14" x14ac:dyDescent="0.25">
      <c r="A424" s="67" t="s">
        <v>259</v>
      </c>
      <c r="B424" s="67" t="s">
        <v>67</v>
      </c>
      <c r="C424" s="67" t="s">
        <v>23</v>
      </c>
      <c r="D424" s="67" t="str">
        <f>_xlfn.CONCAT(Tableau3[[#This Row],[N.Star]]," ",Tableau3[[#This Row],[Const.]])</f>
        <v>SZ Tau</v>
      </c>
      <c r="E424" s="75">
        <v>52129.495000000003</v>
      </c>
      <c r="F424" s="75">
        <f>Tableau3[[#This Row],[ToM(+2400000)]]+2400000</f>
        <v>2452129.4950000001</v>
      </c>
      <c r="G424" s="68">
        <v>0.15</v>
      </c>
      <c r="H424" s="69" t="s">
        <v>24</v>
      </c>
      <c r="I424" s="67" t="s">
        <v>56</v>
      </c>
      <c r="J424" s="67" t="s">
        <v>26</v>
      </c>
      <c r="K424" s="67" t="s">
        <v>27</v>
      </c>
      <c r="L424" s="67" t="s">
        <v>27</v>
      </c>
      <c r="M424" s="67"/>
      <c r="N424" s="67" t="s">
        <v>39</v>
      </c>
    </row>
    <row r="425" spans="1:14" x14ac:dyDescent="0.25">
      <c r="A425" s="67" t="s">
        <v>259</v>
      </c>
      <c r="B425" s="67" t="s">
        <v>67</v>
      </c>
      <c r="C425" s="67" t="s">
        <v>23</v>
      </c>
      <c r="D425" s="67" t="str">
        <f>_xlfn.CONCAT(Tableau3[[#This Row],[N.Star]]," ",Tableau3[[#This Row],[Const.]])</f>
        <v>SZ Tau</v>
      </c>
      <c r="E425" s="75">
        <v>52834.747000000003</v>
      </c>
      <c r="F425" s="75">
        <f>Tableau3[[#This Row],[ToM(+2400000)]]+2400000</f>
        <v>2452834.747</v>
      </c>
      <c r="G425" s="68">
        <v>0.15</v>
      </c>
      <c r="H425" s="69" t="s">
        <v>24</v>
      </c>
      <c r="I425" s="67" t="s">
        <v>56</v>
      </c>
      <c r="J425" s="67" t="s">
        <v>26</v>
      </c>
      <c r="K425" s="67" t="s">
        <v>27</v>
      </c>
      <c r="L425" s="67" t="s">
        <v>27</v>
      </c>
      <c r="M425" s="67"/>
      <c r="N425" s="67" t="s">
        <v>39</v>
      </c>
    </row>
    <row r="426" spans="1:14" x14ac:dyDescent="0.25">
      <c r="A426" s="67" t="s">
        <v>259</v>
      </c>
      <c r="B426" s="67" t="s">
        <v>67</v>
      </c>
      <c r="C426" s="67" t="s">
        <v>23</v>
      </c>
      <c r="D426" s="67" t="str">
        <f>_xlfn.CONCAT(Tableau3[[#This Row],[N.Star]]," ",Tableau3[[#This Row],[Const.]])</f>
        <v>SZ Tau</v>
      </c>
      <c r="E426" s="75">
        <v>53436.156999999999</v>
      </c>
      <c r="F426" s="75">
        <f>Tableau3[[#This Row],[ToM(+2400000)]]+2400000</f>
        <v>2453436.1570000001</v>
      </c>
      <c r="G426" s="68">
        <v>0.15</v>
      </c>
      <c r="H426" s="69" t="s">
        <v>24</v>
      </c>
      <c r="I426" s="67" t="s">
        <v>56</v>
      </c>
      <c r="J426" s="67" t="s">
        <v>26</v>
      </c>
      <c r="K426" s="67" t="s">
        <v>27</v>
      </c>
      <c r="L426" s="67" t="s">
        <v>27</v>
      </c>
      <c r="M426" s="67"/>
      <c r="N426" s="67" t="s">
        <v>39</v>
      </c>
    </row>
    <row r="427" spans="1:14" x14ac:dyDescent="0.25">
      <c r="A427" s="67" t="s">
        <v>259</v>
      </c>
      <c r="B427" s="67" t="s">
        <v>67</v>
      </c>
      <c r="C427" s="67" t="s">
        <v>23</v>
      </c>
      <c r="D427" s="67" t="str">
        <f>_xlfn.CONCAT(Tableau3[[#This Row],[N.Star]]," ",Tableau3[[#This Row],[Const.]])</f>
        <v>SZ Tau</v>
      </c>
      <c r="E427" s="75">
        <v>54298.843999999997</v>
      </c>
      <c r="F427" s="75">
        <f>Tableau3[[#This Row],[ToM(+2400000)]]+2400000</f>
        <v>2454298.844</v>
      </c>
      <c r="G427" s="68">
        <v>0.15</v>
      </c>
      <c r="H427" s="69" t="s">
        <v>24</v>
      </c>
      <c r="I427" s="67" t="s">
        <v>56</v>
      </c>
      <c r="J427" s="67" t="s">
        <v>26</v>
      </c>
      <c r="K427" s="67" t="s">
        <v>27</v>
      </c>
      <c r="L427" s="67" t="s">
        <v>27</v>
      </c>
      <c r="M427" s="67"/>
      <c r="N427" s="67" t="s">
        <v>39</v>
      </c>
    </row>
    <row r="428" spans="1:14" x14ac:dyDescent="0.25">
      <c r="A428" s="67" t="s">
        <v>259</v>
      </c>
      <c r="B428" s="67" t="s">
        <v>67</v>
      </c>
      <c r="C428" s="67" t="s">
        <v>23</v>
      </c>
      <c r="D428" s="67" t="str">
        <f>_xlfn.CONCAT(Tableau3[[#This Row],[N.Star]]," ",Tableau3[[#This Row],[Const.]])</f>
        <v>SZ Tau</v>
      </c>
      <c r="E428" s="75">
        <v>54727.23</v>
      </c>
      <c r="F428" s="75">
        <f>Tableau3[[#This Row],[ToM(+2400000)]]+2400000</f>
        <v>2454727.23</v>
      </c>
      <c r="G428" s="68">
        <v>0.15</v>
      </c>
      <c r="H428" s="69" t="s">
        <v>24</v>
      </c>
      <c r="I428" s="67" t="s">
        <v>208</v>
      </c>
      <c r="J428" s="67" t="s">
        <v>26</v>
      </c>
      <c r="K428" s="67" t="s">
        <v>27</v>
      </c>
      <c r="L428" s="67" t="s">
        <v>27</v>
      </c>
      <c r="M428" s="67"/>
      <c r="N428" s="67" t="s">
        <v>39</v>
      </c>
    </row>
    <row r="429" spans="1:14" x14ac:dyDescent="0.25">
      <c r="A429" s="67" t="s">
        <v>259</v>
      </c>
      <c r="B429" s="67" t="s">
        <v>67</v>
      </c>
      <c r="C429" s="67" t="s">
        <v>23</v>
      </c>
      <c r="D429" s="67" t="str">
        <f>_xlfn.CONCAT(Tableau3[[#This Row],[N.Star]]," ",Tableau3[[#This Row],[Const.]])</f>
        <v>SZ Tau</v>
      </c>
      <c r="E429" s="75">
        <v>55035.788</v>
      </c>
      <c r="F429" s="75">
        <f>Tableau3[[#This Row],[ToM(+2400000)]]+2400000</f>
        <v>2455035.7880000002</v>
      </c>
      <c r="G429" s="68">
        <v>0.15</v>
      </c>
      <c r="H429" s="69" t="s">
        <v>24</v>
      </c>
      <c r="I429" s="67" t="s">
        <v>56</v>
      </c>
      <c r="J429" s="67" t="s">
        <v>26</v>
      </c>
      <c r="K429" s="67" t="s">
        <v>27</v>
      </c>
      <c r="L429" s="67" t="s">
        <v>27</v>
      </c>
      <c r="M429" s="67"/>
      <c r="N429" s="67" t="s">
        <v>39</v>
      </c>
    </row>
    <row r="430" spans="1:14" x14ac:dyDescent="0.25">
      <c r="A430" s="67" t="s">
        <v>259</v>
      </c>
      <c r="B430" s="67" t="s">
        <v>67</v>
      </c>
      <c r="C430" s="67" t="s">
        <v>23</v>
      </c>
      <c r="D430" s="67" t="str">
        <f>_xlfn.CONCAT(Tableau3[[#This Row],[N.Star]]," ",Tableau3[[#This Row],[Const.]])</f>
        <v>SZ Tau</v>
      </c>
      <c r="E430" s="75">
        <v>55731.61</v>
      </c>
      <c r="F430" s="75">
        <f>Tableau3[[#This Row],[ToM(+2400000)]]+2400000</f>
        <v>2455731.61</v>
      </c>
      <c r="G430" s="68">
        <v>0.15</v>
      </c>
      <c r="H430" s="69" t="s">
        <v>24</v>
      </c>
      <c r="I430" s="67" t="s">
        <v>56</v>
      </c>
      <c r="J430" s="67" t="s">
        <v>26</v>
      </c>
      <c r="K430" s="67" t="s">
        <v>27</v>
      </c>
      <c r="L430" s="67" t="s">
        <v>27</v>
      </c>
      <c r="M430" s="67"/>
      <c r="N430" s="67" t="s">
        <v>39</v>
      </c>
    </row>
    <row r="431" spans="1:14" x14ac:dyDescent="0.25">
      <c r="A431" s="67" t="s">
        <v>259</v>
      </c>
      <c r="B431" s="67" t="s">
        <v>67</v>
      </c>
      <c r="C431" s="67" t="s">
        <v>23</v>
      </c>
      <c r="D431" s="67" t="str">
        <f>_xlfn.CONCAT(Tableau3[[#This Row],[N.Star]]," ",Tableau3[[#This Row],[Const.]])</f>
        <v>SZ Tau</v>
      </c>
      <c r="E431" s="75">
        <v>56411.767999999996</v>
      </c>
      <c r="F431" s="75">
        <f>Tableau3[[#This Row],[ToM(+2400000)]]+2400000</f>
        <v>2456411.7680000002</v>
      </c>
      <c r="G431" s="68">
        <v>0.15</v>
      </c>
      <c r="H431" s="69" t="s">
        <v>24</v>
      </c>
      <c r="I431" s="67" t="s">
        <v>56</v>
      </c>
      <c r="J431" s="67" t="s">
        <v>26</v>
      </c>
      <c r="K431" s="67" t="s">
        <v>27</v>
      </c>
      <c r="L431" s="67" t="s">
        <v>27</v>
      </c>
      <c r="M431" s="67"/>
      <c r="N431" s="67" t="s">
        <v>39</v>
      </c>
    </row>
    <row r="432" spans="1:14" x14ac:dyDescent="0.25">
      <c r="A432" s="67" t="s">
        <v>259</v>
      </c>
      <c r="B432" s="67" t="s">
        <v>67</v>
      </c>
      <c r="C432" s="67" t="s">
        <v>23</v>
      </c>
      <c r="D432" s="67" t="str">
        <f>_xlfn.CONCAT(Tableau3[[#This Row],[N.Star]]," ",Tableau3[[#This Row],[Const.]])</f>
        <v>SZ Tau</v>
      </c>
      <c r="E432" s="75">
        <v>59119.51</v>
      </c>
      <c r="F432" s="75">
        <f>Tableau3[[#This Row],[ToM(+2400000)]]+2400000</f>
        <v>2459119.5099999998</v>
      </c>
      <c r="G432" s="68">
        <v>0.2</v>
      </c>
      <c r="H432" s="69" t="s">
        <v>24</v>
      </c>
      <c r="I432" s="67" t="s">
        <v>25</v>
      </c>
      <c r="J432" s="67" t="s">
        <v>26</v>
      </c>
      <c r="K432" s="67" t="s">
        <v>27</v>
      </c>
      <c r="L432" s="67" t="s">
        <v>27</v>
      </c>
      <c r="M432" s="67"/>
      <c r="N432" s="67" t="s">
        <v>268</v>
      </c>
    </row>
    <row r="433" spans="1:14" x14ac:dyDescent="0.25">
      <c r="A433" s="67" t="s">
        <v>259</v>
      </c>
      <c r="B433" s="67" t="s">
        <v>67</v>
      </c>
      <c r="C433" s="67" t="s">
        <v>23</v>
      </c>
      <c r="D433" s="67" t="str">
        <f>_xlfn.CONCAT(Tableau3[[#This Row],[N.Star]]," ",Tableau3[[#This Row],[Const.]])</f>
        <v>SZ Tau</v>
      </c>
      <c r="E433" s="75">
        <v>59138.49</v>
      </c>
      <c r="F433" s="75">
        <f>Tableau3[[#This Row],[ToM(+2400000)]]+2400000</f>
        <v>2459138.4900000002</v>
      </c>
      <c r="G433" s="68">
        <v>0.15</v>
      </c>
      <c r="H433" s="69" t="s">
        <v>24</v>
      </c>
      <c r="I433" s="67" t="s">
        <v>25</v>
      </c>
      <c r="J433" s="67" t="s">
        <v>26</v>
      </c>
      <c r="K433" s="67" t="s">
        <v>27</v>
      </c>
      <c r="L433" s="67" t="s">
        <v>27</v>
      </c>
      <c r="M433" s="67"/>
      <c r="N433" s="67" t="s">
        <v>269</v>
      </c>
    </row>
    <row r="434" spans="1:14" x14ac:dyDescent="0.25">
      <c r="A434" s="67" t="s">
        <v>259</v>
      </c>
      <c r="B434" s="67" t="s">
        <v>67</v>
      </c>
      <c r="C434" s="67" t="s">
        <v>23</v>
      </c>
      <c r="D434" s="67" t="str">
        <f>_xlfn.CONCAT(Tableau3[[#This Row],[N.Star]]," ",Tableau3[[#This Row],[Const.]])</f>
        <v>SZ Tau</v>
      </c>
      <c r="E434" s="75">
        <v>59664.31</v>
      </c>
      <c r="F434" s="75">
        <f>Tableau3[[#This Row],[ToM(+2400000)]]+2400000</f>
        <v>2459664.31</v>
      </c>
      <c r="G434" s="68">
        <v>0.15</v>
      </c>
      <c r="H434" s="69" t="s">
        <v>24</v>
      </c>
      <c r="I434" s="67" t="s">
        <v>25</v>
      </c>
      <c r="J434" s="67" t="s">
        <v>26</v>
      </c>
      <c r="K434" s="67" t="s">
        <v>27</v>
      </c>
      <c r="L434" s="67" t="s">
        <v>27</v>
      </c>
      <c r="M434" s="67"/>
      <c r="N434" s="67" t="s">
        <v>270</v>
      </c>
    </row>
    <row r="435" spans="1:14" x14ac:dyDescent="0.25">
      <c r="A435" s="67" t="s">
        <v>259</v>
      </c>
      <c r="B435" s="67" t="s">
        <v>67</v>
      </c>
      <c r="C435" s="67" t="s">
        <v>23</v>
      </c>
      <c r="D435" s="67" t="str">
        <f>_xlfn.CONCAT(Tableau3[[#This Row],[N.Star]]," ",Tableau3[[#This Row],[Const.]])</f>
        <v>SZ Tau</v>
      </c>
      <c r="E435" s="75">
        <v>59875.53</v>
      </c>
      <c r="F435" s="75">
        <f>Tableau3[[#This Row],[ToM(+2400000)]]+2400000</f>
        <v>2459875.5299999998</v>
      </c>
      <c r="G435" s="68">
        <v>0.19</v>
      </c>
      <c r="H435" s="69" t="s">
        <v>24</v>
      </c>
      <c r="I435" s="67" t="s">
        <v>122</v>
      </c>
      <c r="J435" s="67" t="s">
        <v>26</v>
      </c>
      <c r="K435" s="67" t="s">
        <v>27</v>
      </c>
      <c r="L435" s="67" t="s">
        <v>27</v>
      </c>
      <c r="M435" s="67"/>
      <c r="N435" s="67"/>
    </row>
    <row r="436" spans="1:14" x14ac:dyDescent="0.25">
      <c r="A436" s="67" t="s">
        <v>259</v>
      </c>
      <c r="B436" s="67" t="s">
        <v>67</v>
      </c>
      <c r="C436" s="67" t="s">
        <v>23</v>
      </c>
      <c r="D436" s="67" t="str">
        <f>_xlfn.CONCAT(Tableau3[[#This Row],[N.Star]]," ",Tableau3[[#This Row],[Const.]])</f>
        <v>SZ Tau</v>
      </c>
      <c r="E436" s="75">
        <v>59973.17</v>
      </c>
      <c r="F436" s="75">
        <f>Tableau3[[#This Row],[ToM(+2400000)]]+2400000</f>
        <v>2459973.17</v>
      </c>
      <c r="G436" s="68">
        <v>0.16</v>
      </c>
      <c r="H436" s="69" t="s">
        <v>24</v>
      </c>
      <c r="I436" s="67" t="s">
        <v>122</v>
      </c>
      <c r="J436" s="67" t="s">
        <v>26</v>
      </c>
      <c r="K436" s="67" t="s">
        <v>27</v>
      </c>
      <c r="L436" s="67" t="s">
        <v>27</v>
      </c>
      <c r="M436" s="67"/>
      <c r="N436" s="67"/>
    </row>
    <row r="437" spans="1:14" x14ac:dyDescent="0.25">
      <c r="A437" s="67" t="s">
        <v>259</v>
      </c>
      <c r="B437" s="67" t="s">
        <v>67</v>
      </c>
      <c r="C437" s="67" t="s">
        <v>23</v>
      </c>
      <c r="D437" s="67" t="str">
        <f>_xlfn.CONCAT(Tableau3[[#This Row],[N.Star]]," ",Tableau3[[#This Row],[Const.]])</f>
        <v>SZ Tau</v>
      </c>
      <c r="E437" s="75">
        <v>60247.02</v>
      </c>
      <c r="F437" s="75">
        <f>Tableau3[[#This Row],[ToM(+2400000)]]+2400000</f>
        <v>2460247.02</v>
      </c>
      <c r="G437" s="68">
        <v>0.19</v>
      </c>
      <c r="H437" s="69" t="s">
        <v>24</v>
      </c>
      <c r="I437" s="67" t="s">
        <v>122</v>
      </c>
      <c r="J437" s="67" t="s">
        <v>26</v>
      </c>
      <c r="K437" s="67" t="s">
        <v>27</v>
      </c>
      <c r="L437" s="67" t="s">
        <v>27</v>
      </c>
      <c r="M437" s="67"/>
      <c r="N437" s="67"/>
    </row>
    <row r="438" spans="1:14" x14ac:dyDescent="0.25">
      <c r="A438" s="67" t="s">
        <v>259</v>
      </c>
      <c r="B438" s="67" t="s">
        <v>67</v>
      </c>
      <c r="C438" s="67" t="s">
        <v>23</v>
      </c>
      <c r="D438" s="67" t="str">
        <f>_xlfn.CONCAT(Tableau3[[#This Row],[N.Star]]," ",Tableau3[[#This Row],[Const.]])</f>
        <v>SZ Tau</v>
      </c>
      <c r="E438" s="75">
        <v>60341.48</v>
      </c>
      <c r="F438" s="75">
        <f>Tableau3[[#This Row],[ToM(+2400000)]]+2400000</f>
        <v>2460341.48</v>
      </c>
      <c r="G438" s="68">
        <v>0.16</v>
      </c>
      <c r="H438" s="69" t="s">
        <v>24</v>
      </c>
      <c r="I438" s="67" t="s">
        <v>122</v>
      </c>
      <c r="J438" s="67" t="s">
        <v>26</v>
      </c>
      <c r="K438" s="67" t="s">
        <v>27</v>
      </c>
      <c r="L438" s="67" t="s">
        <v>27</v>
      </c>
      <c r="M438" s="67"/>
      <c r="N438" s="67"/>
    </row>
    <row r="439" spans="1:14" x14ac:dyDescent="0.25">
      <c r="A439" s="67" t="s">
        <v>271</v>
      </c>
      <c r="B439" s="67" t="s">
        <v>67</v>
      </c>
      <c r="C439" s="67" t="s">
        <v>23</v>
      </c>
      <c r="D439" s="67" t="str">
        <f>_xlfn.CONCAT(Tableau3[[#This Row],[N.Star]]," ",Tableau3[[#This Row],[Const.]])</f>
        <v xml:space="preserve">SZ Tau </v>
      </c>
      <c r="E439" s="75">
        <v>47526.05</v>
      </c>
      <c r="F439" s="75">
        <f>Tableau3[[#This Row],[ToM(+2400000)]]+2400000</f>
        <v>2447526.0499999998</v>
      </c>
      <c r="G439" s="68">
        <v>0.06</v>
      </c>
      <c r="H439" s="69" t="s">
        <v>24</v>
      </c>
      <c r="I439" s="67" t="s">
        <v>42</v>
      </c>
      <c r="J439" s="67" t="s">
        <v>26</v>
      </c>
      <c r="K439" s="67" t="s">
        <v>62</v>
      </c>
      <c r="L439" s="67" t="s">
        <v>63</v>
      </c>
      <c r="M439" s="67"/>
      <c r="N439" s="67"/>
    </row>
    <row r="440" spans="1:14" x14ac:dyDescent="0.25">
      <c r="A440" s="67" t="s">
        <v>271</v>
      </c>
      <c r="B440" s="67" t="s">
        <v>67</v>
      </c>
      <c r="C440" s="67" t="s">
        <v>23</v>
      </c>
      <c r="D440" s="67" t="str">
        <f>_xlfn.CONCAT(Tableau3[[#This Row],[N.Star]]," ",Tableau3[[#This Row],[Const.]])</f>
        <v xml:space="preserve">SZ Tau </v>
      </c>
      <c r="E440" s="75">
        <v>60643.754999999997</v>
      </c>
      <c r="F440" s="75">
        <f>Tableau3[[#This Row],[ToM(+2400000)]]+2400000</f>
        <v>2460643.7549999999</v>
      </c>
      <c r="G440" s="68">
        <v>0.08</v>
      </c>
      <c r="H440" s="69" t="s">
        <v>698</v>
      </c>
      <c r="I440" s="67" t="s">
        <v>699</v>
      </c>
      <c r="J440" s="67" t="s">
        <v>26</v>
      </c>
      <c r="K440" s="67" t="s">
        <v>27</v>
      </c>
      <c r="L440" s="67" t="s">
        <v>27</v>
      </c>
      <c r="M440" s="67"/>
      <c r="N440" s="67"/>
    </row>
    <row r="441" spans="1:14" x14ac:dyDescent="0.25">
      <c r="A441" t="s">
        <v>272</v>
      </c>
      <c r="B441" t="s">
        <v>273</v>
      </c>
      <c r="C441" t="s">
        <v>23</v>
      </c>
      <c r="D441" t="str">
        <f>_xlfn.CONCAT(Tableau3[[#This Row],[N.Star]]," ",Tableau3[[#This Row],[Const.]])</f>
        <v>AS Vul</v>
      </c>
      <c r="E441" s="8">
        <v>47873.199000000001</v>
      </c>
      <c r="F441" s="8">
        <f>Tableau3[[#This Row],[ToM(+2400000)]]+2400000</f>
        <v>2447873.199</v>
      </c>
      <c r="G441" s="34">
        <v>0.24</v>
      </c>
      <c r="H441" s="3" t="s">
        <v>24</v>
      </c>
      <c r="I441" t="s">
        <v>25</v>
      </c>
      <c r="J441" t="s">
        <v>26</v>
      </c>
      <c r="K441" t="s">
        <v>27</v>
      </c>
      <c r="L441" t="s">
        <v>28</v>
      </c>
    </row>
    <row r="442" spans="1:14" x14ac:dyDescent="0.25">
      <c r="A442" t="s">
        <v>272</v>
      </c>
      <c r="B442" t="s">
        <v>274</v>
      </c>
      <c r="C442" t="s">
        <v>23</v>
      </c>
      <c r="D442" t="str">
        <f>_xlfn.CONCAT(Tableau3[[#This Row],[N.Star]]," ",Tableau3[[#This Row],[Const.]])</f>
        <v>BR Vul</v>
      </c>
      <c r="E442" s="8">
        <v>47875.076000000001</v>
      </c>
      <c r="F442" s="8">
        <f>Tableau3[[#This Row],[ToM(+2400000)]]+2400000</f>
        <v>2447875.0759999999</v>
      </c>
      <c r="G442" s="34">
        <v>0.05</v>
      </c>
      <c r="H442" s="3" t="s">
        <v>24</v>
      </c>
      <c r="I442" t="s">
        <v>25</v>
      </c>
      <c r="J442" t="s">
        <v>26</v>
      </c>
      <c r="K442" t="s">
        <v>159</v>
      </c>
      <c r="L442" t="s">
        <v>27</v>
      </c>
      <c r="N442" t="s">
        <v>160</v>
      </c>
    </row>
    <row r="443" spans="1:14" x14ac:dyDescent="0.25">
      <c r="A443" t="s">
        <v>272</v>
      </c>
      <c r="B443" t="s">
        <v>275</v>
      </c>
      <c r="C443" t="s">
        <v>23</v>
      </c>
      <c r="D443" t="str">
        <f>_xlfn.CONCAT(Tableau3[[#This Row],[N.Star]]," ",Tableau3[[#This Row],[Const.]])</f>
        <v>DG Vul</v>
      </c>
      <c r="E443" s="8">
        <v>47860.214999999997</v>
      </c>
      <c r="F443" s="8">
        <f>Tableau3[[#This Row],[ToM(+2400000)]]+2400000</f>
        <v>2447860.2149999999</v>
      </c>
      <c r="G443" s="34">
        <v>7.0000000000000007E-2</v>
      </c>
      <c r="H443" s="3" t="s">
        <v>24</v>
      </c>
      <c r="I443" t="s">
        <v>25</v>
      </c>
      <c r="J443" t="s">
        <v>26</v>
      </c>
      <c r="K443" t="s">
        <v>276</v>
      </c>
      <c r="L443" t="s">
        <v>27</v>
      </c>
      <c r="N443" t="s">
        <v>28</v>
      </c>
    </row>
    <row r="444" spans="1:14" x14ac:dyDescent="0.25">
      <c r="A444" s="111" t="s">
        <v>272</v>
      </c>
      <c r="B444" s="111" t="s">
        <v>254</v>
      </c>
      <c r="C444" s="111" t="s">
        <v>23</v>
      </c>
      <c r="D444" s="111" t="str">
        <f>_xlfn.CONCAT(Tableau3[[#This Row],[N.Star]]," ",Tableau3[[#This Row],[Const.]])</f>
        <v>SV Vul</v>
      </c>
      <c r="E444" s="112">
        <v>45561.35</v>
      </c>
      <c r="F444" s="112">
        <f>Tableau3[[#This Row],[ToM(+2400000)]]+2400000</f>
        <v>2445561.35</v>
      </c>
      <c r="G444" s="113">
        <v>1</v>
      </c>
      <c r="H444" s="114" t="s">
        <v>24</v>
      </c>
      <c r="I444" s="114" t="s">
        <v>277</v>
      </c>
      <c r="J444" s="111" t="s">
        <v>26</v>
      </c>
      <c r="K444" s="111" t="s">
        <v>171</v>
      </c>
      <c r="L444" s="111" t="s">
        <v>278</v>
      </c>
      <c r="M444" s="111"/>
      <c r="N444" s="111"/>
    </row>
    <row r="445" spans="1:14" x14ac:dyDescent="0.25">
      <c r="A445" s="111" t="s">
        <v>272</v>
      </c>
      <c r="B445" s="111" t="s">
        <v>254</v>
      </c>
      <c r="C445" s="111" t="s">
        <v>23</v>
      </c>
      <c r="D445" s="111" t="str">
        <f>_xlfn.CONCAT(Tableau3[[#This Row],[N.Star]]," ",Tableau3[[#This Row],[Const.]])</f>
        <v>SV Vul</v>
      </c>
      <c r="E445" s="112">
        <v>45922.6</v>
      </c>
      <c r="F445" s="112">
        <f>Tableau3[[#This Row],[ToM(+2400000)]]+2400000</f>
        <v>2445922.6</v>
      </c>
      <c r="G445" s="113">
        <v>1</v>
      </c>
      <c r="H445" s="114" t="s">
        <v>24</v>
      </c>
      <c r="I445" s="114" t="s">
        <v>279</v>
      </c>
      <c r="J445" s="111" t="s">
        <v>26</v>
      </c>
      <c r="K445" s="111" t="s">
        <v>171</v>
      </c>
      <c r="L445" s="111" t="s">
        <v>278</v>
      </c>
      <c r="M445" s="111"/>
      <c r="N445" s="111"/>
    </row>
    <row r="446" spans="1:14" x14ac:dyDescent="0.25">
      <c r="A446" s="111" t="s">
        <v>272</v>
      </c>
      <c r="B446" s="111" t="s">
        <v>254</v>
      </c>
      <c r="C446" s="111" t="s">
        <v>23</v>
      </c>
      <c r="D446" s="111" t="str">
        <f>_xlfn.CONCAT(Tableau3[[#This Row],[N.Star]]," ",Tableau3[[#This Row],[Const.]])</f>
        <v>SV Vul</v>
      </c>
      <c r="E446" s="112">
        <v>46104</v>
      </c>
      <c r="F446" s="112">
        <f>Tableau3[[#This Row],[ToM(+2400000)]]+2400000</f>
        <v>2446104</v>
      </c>
      <c r="G446" s="113">
        <v>0</v>
      </c>
      <c r="H446" s="114" t="s">
        <v>24</v>
      </c>
      <c r="I446" s="114" t="s">
        <v>280</v>
      </c>
      <c r="J446" s="111" t="s">
        <v>26</v>
      </c>
      <c r="K446" s="111" t="s">
        <v>171</v>
      </c>
      <c r="L446" s="111" t="s">
        <v>278</v>
      </c>
      <c r="M446" s="111"/>
      <c r="N446" s="111"/>
    </row>
    <row r="447" spans="1:14" x14ac:dyDescent="0.25">
      <c r="A447" s="111" t="s">
        <v>272</v>
      </c>
      <c r="B447" s="111" t="s">
        <v>254</v>
      </c>
      <c r="C447" s="111" t="s">
        <v>23</v>
      </c>
      <c r="D447" s="111" t="str">
        <f>_xlfn.CONCAT(Tableau3[[#This Row],[N.Star]]," ",Tableau3[[#This Row],[Const.]])</f>
        <v>SV Vul</v>
      </c>
      <c r="E447" s="112">
        <v>46285.4</v>
      </c>
      <c r="F447" s="112">
        <f>Tableau3[[#This Row],[ToM(+2400000)]]+2400000</f>
        <v>2446285.4</v>
      </c>
      <c r="G447" s="113">
        <v>0</v>
      </c>
      <c r="H447" s="114" t="s">
        <v>24</v>
      </c>
      <c r="I447" s="114" t="s">
        <v>280</v>
      </c>
      <c r="J447" s="111" t="s">
        <v>26</v>
      </c>
      <c r="K447" s="111" t="s">
        <v>171</v>
      </c>
      <c r="L447" s="111" t="s">
        <v>278</v>
      </c>
      <c r="M447" s="111"/>
      <c r="N447" s="111"/>
    </row>
    <row r="448" spans="1:14" x14ac:dyDescent="0.25">
      <c r="A448" s="111" t="s">
        <v>272</v>
      </c>
      <c r="B448" s="111" t="s">
        <v>254</v>
      </c>
      <c r="C448" s="111" t="s">
        <v>23</v>
      </c>
      <c r="D448" s="111" t="str">
        <f>_xlfn.CONCAT(Tableau3[[#This Row],[N.Star]]," ",Tableau3[[#This Row],[Const.]])</f>
        <v>SV Vul</v>
      </c>
      <c r="E448" s="112">
        <v>47276.59</v>
      </c>
      <c r="F448" s="112">
        <f>Tableau3[[#This Row],[ToM(+2400000)]]+2400000</f>
        <v>2447276.59</v>
      </c>
      <c r="G448" s="113">
        <v>1</v>
      </c>
      <c r="H448" s="114" t="s">
        <v>24</v>
      </c>
      <c r="I448" s="114" t="s">
        <v>281</v>
      </c>
      <c r="J448" s="111" t="s">
        <v>26</v>
      </c>
      <c r="K448" s="111" t="s">
        <v>171</v>
      </c>
      <c r="L448" s="111" t="s">
        <v>278</v>
      </c>
      <c r="M448" s="111"/>
      <c r="N448" s="111"/>
    </row>
    <row r="449" spans="1:14" x14ac:dyDescent="0.25">
      <c r="A449" s="111" t="s">
        <v>272</v>
      </c>
      <c r="B449" s="111" t="s">
        <v>254</v>
      </c>
      <c r="C449" s="111" t="s">
        <v>23</v>
      </c>
      <c r="D449" s="111" t="str">
        <f>_xlfn.CONCAT(Tableau3[[#This Row],[N.Star]]," ",Tableau3[[#This Row],[Const.]])</f>
        <v>SV Vul</v>
      </c>
      <c r="E449" s="112">
        <v>47632.7</v>
      </c>
      <c r="F449" s="112">
        <f>Tableau3[[#This Row],[ToM(+2400000)]]+2400000</f>
        <v>2447632.7000000002</v>
      </c>
      <c r="G449" s="113">
        <v>2</v>
      </c>
      <c r="H449" s="114" t="s">
        <v>24</v>
      </c>
      <c r="I449" s="114" t="s">
        <v>282</v>
      </c>
      <c r="J449" s="111" t="s">
        <v>26</v>
      </c>
      <c r="K449" s="111" t="s">
        <v>171</v>
      </c>
      <c r="L449" s="111" t="s">
        <v>278</v>
      </c>
      <c r="M449" s="111"/>
      <c r="N449" s="111"/>
    </row>
    <row r="450" spans="1:14" x14ac:dyDescent="0.25">
      <c r="A450" s="111" t="s">
        <v>272</v>
      </c>
      <c r="B450" s="111" t="s">
        <v>254</v>
      </c>
      <c r="C450" s="111" t="s">
        <v>23</v>
      </c>
      <c r="D450" s="111" t="str">
        <f>_xlfn.CONCAT(Tableau3[[#This Row],[N.Star]]," ",Tableau3[[#This Row],[Const.]])</f>
        <v>SV Vul</v>
      </c>
      <c r="E450" s="112">
        <v>47678.5</v>
      </c>
      <c r="F450" s="112">
        <f>Tableau3[[#This Row],[ToM(+2400000)]]+2400000</f>
        <v>2447678.5</v>
      </c>
      <c r="G450" s="113">
        <v>0</v>
      </c>
      <c r="H450" s="114" t="s">
        <v>24</v>
      </c>
      <c r="I450" s="114" t="s">
        <v>283</v>
      </c>
      <c r="J450" s="111" t="s">
        <v>26</v>
      </c>
      <c r="K450" s="111" t="s">
        <v>171</v>
      </c>
      <c r="L450" s="111" t="s">
        <v>278</v>
      </c>
      <c r="M450" s="111"/>
      <c r="N450" s="111"/>
    </row>
    <row r="451" spans="1:14" x14ac:dyDescent="0.25">
      <c r="A451" s="111" t="s">
        <v>272</v>
      </c>
      <c r="B451" s="111" t="s">
        <v>254</v>
      </c>
      <c r="C451" s="111" t="s">
        <v>23</v>
      </c>
      <c r="D451" s="111" t="str">
        <f>_xlfn.CONCAT(Tableau3[[#This Row],[N.Star]]," ",Tableau3[[#This Row],[Const.]])</f>
        <v>SV Vul</v>
      </c>
      <c r="E451" s="112">
        <v>47727.5</v>
      </c>
      <c r="F451" s="112">
        <f>Tableau3[[#This Row],[ToM(+2400000)]]+2400000</f>
        <v>2447727.5</v>
      </c>
      <c r="G451" s="113">
        <v>0</v>
      </c>
      <c r="H451" s="114" t="s">
        <v>24</v>
      </c>
      <c r="I451" s="114" t="s">
        <v>283</v>
      </c>
      <c r="J451" s="111" t="s">
        <v>26</v>
      </c>
      <c r="K451" s="111" t="s">
        <v>171</v>
      </c>
      <c r="L451" s="111" t="s">
        <v>278</v>
      </c>
      <c r="M451" s="111"/>
      <c r="N451" s="111"/>
    </row>
    <row r="452" spans="1:14" x14ac:dyDescent="0.25">
      <c r="A452" s="111" t="s">
        <v>272</v>
      </c>
      <c r="B452" s="111" t="s">
        <v>254</v>
      </c>
      <c r="C452" s="111" t="s">
        <v>23</v>
      </c>
      <c r="D452" s="111" t="str">
        <f>_xlfn.CONCAT(Tableau3[[#This Row],[N.Star]]," ",Tableau3[[#This Row],[Const.]])</f>
        <v>SV Vul</v>
      </c>
      <c r="E452" s="112">
        <v>47770.5</v>
      </c>
      <c r="F452" s="112">
        <f>Tableau3[[#This Row],[ToM(+2400000)]]+2400000</f>
        <v>2447770.5</v>
      </c>
      <c r="G452" s="113">
        <v>0</v>
      </c>
      <c r="H452" s="114" t="s">
        <v>24</v>
      </c>
      <c r="I452" s="114" t="s">
        <v>283</v>
      </c>
      <c r="J452" s="111" t="s">
        <v>26</v>
      </c>
      <c r="K452" s="111" t="s">
        <v>171</v>
      </c>
      <c r="L452" s="111" t="s">
        <v>278</v>
      </c>
      <c r="M452" s="111"/>
      <c r="N452" s="111"/>
    </row>
    <row r="453" spans="1:14" x14ac:dyDescent="0.25">
      <c r="A453" s="111" t="s">
        <v>272</v>
      </c>
      <c r="B453" s="111" t="s">
        <v>254</v>
      </c>
      <c r="C453" s="111" t="s">
        <v>23</v>
      </c>
      <c r="D453" s="111" t="str">
        <f>_xlfn.CONCAT(Tableau3[[#This Row],[N.Star]]," ",Tableau3[[#This Row],[Const.]])</f>
        <v>SV Vul</v>
      </c>
      <c r="E453" s="112">
        <v>48085.5</v>
      </c>
      <c r="F453" s="112">
        <f>Tableau3[[#This Row],[ToM(+2400000)]]+2400000</f>
        <v>2448085.5</v>
      </c>
      <c r="G453" s="113">
        <v>0</v>
      </c>
      <c r="H453" s="114" t="s">
        <v>24</v>
      </c>
      <c r="I453" s="114" t="s">
        <v>284</v>
      </c>
      <c r="J453" s="111" t="s">
        <v>26</v>
      </c>
      <c r="K453" s="111" t="s">
        <v>171</v>
      </c>
      <c r="L453" s="111" t="s">
        <v>278</v>
      </c>
      <c r="M453" s="111"/>
      <c r="N453" s="111"/>
    </row>
    <row r="454" spans="1:14" x14ac:dyDescent="0.25">
      <c r="A454" s="111" t="s">
        <v>272</v>
      </c>
      <c r="B454" s="111" t="s">
        <v>254</v>
      </c>
      <c r="C454" s="111" t="s">
        <v>23</v>
      </c>
      <c r="D454" s="111" t="str">
        <f>_xlfn.CONCAT(Tableau3[[#This Row],[N.Star]]," ",Tableau3[[#This Row],[Const.]])</f>
        <v>SV Vul</v>
      </c>
      <c r="E454" s="112">
        <v>48173.4</v>
      </c>
      <c r="F454" s="112">
        <f>Tableau3[[#This Row],[ToM(+2400000)]]+2400000</f>
        <v>2448173.4</v>
      </c>
      <c r="G454" s="113">
        <v>0</v>
      </c>
      <c r="H454" s="114" t="s">
        <v>24</v>
      </c>
      <c r="I454" s="114" t="s">
        <v>284</v>
      </c>
      <c r="J454" s="111" t="s">
        <v>26</v>
      </c>
      <c r="K454" s="111" t="s">
        <v>171</v>
      </c>
      <c r="L454" s="111" t="s">
        <v>278</v>
      </c>
      <c r="M454" s="111"/>
      <c r="N454" s="111"/>
    </row>
    <row r="455" spans="1:14" x14ac:dyDescent="0.25">
      <c r="A455" s="111" t="s">
        <v>272</v>
      </c>
      <c r="B455" s="111" t="s">
        <v>254</v>
      </c>
      <c r="C455" s="111" t="s">
        <v>23</v>
      </c>
      <c r="D455" s="111" t="str">
        <f>_xlfn.CONCAT(Tableau3[[#This Row],[N.Star]]," ",Tableau3[[#This Row],[Const.]])</f>
        <v>SV Vul</v>
      </c>
      <c r="E455" s="112">
        <v>48397.5</v>
      </c>
      <c r="F455" s="112">
        <f>Tableau3[[#This Row],[ToM(+2400000)]]+2400000</f>
        <v>2448397.5</v>
      </c>
      <c r="G455" s="113">
        <v>0</v>
      </c>
      <c r="H455" s="114" t="s">
        <v>24</v>
      </c>
      <c r="I455" s="114" t="s">
        <v>285</v>
      </c>
      <c r="J455" s="111" t="s">
        <v>26</v>
      </c>
      <c r="K455" s="111" t="s">
        <v>171</v>
      </c>
      <c r="L455" s="111" t="s">
        <v>278</v>
      </c>
      <c r="M455" s="111"/>
      <c r="N455" s="111"/>
    </row>
    <row r="456" spans="1:14" x14ac:dyDescent="0.25">
      <c r="A456" s="111" t="s">
        <v>272</v>
      </c>
      <c r="B456" s="111" t="s">
        <v>254</v>
      </c>
      <c r="C456" s="111" t="s">
        <v>23</v>
      </c>
      <c r="D456" s="111" t="str">
        <f>_xlfn.CONCAT(Tableau3[[#This Row],[N.Star]]," ",Tableau3[[#This Row],[Const.]])</f>
        <v>SV Vul</v>
      </c>
      <c r="E456" s="112">
        <v>48443.5</v>
      </c>
      <c r="F456" s="112">
        <f>Tableau3[[#This Row],[ToM(+2400000)]]+2400000</f>
        <v>2448443.5</v>
      </c>
      <c r="G456" s="113">
        <v>0</v>
      </c>
      <c r="H456" s="114" t="s">
        <v>24</v>
      </c>
      <c r="I456" s="114" t="s">
        <v>285</v>
      </c>
      <c r="J456" s="111" t="s">
        <v>26</v>
      </c>
      <c r="K456" s="111" t="s">
        <v>171</v>
      </c>
      <c r="L456" s="111" t="s">
        <v>278</v>
      </c>
      <c r="M456" s="111"/>
      <c r="N456" s="111"/>
    </row>
    <row r="457" spans="1:14" x14ac:dyDescent="0.25">
      <c r="A457" s="111" t="s">
        <v>272</v>
      </c>
      <c r="B457" s="111" t="s">
        <v>254</v>
      </c>
      <c r="C457" s="111" t="s">
        <v>23</v>
      </c>
      <c r="D457" s="111" t="str">
        <f>_xlfn.CONCAT(Tableau3[[#This Row],[N.Star]]," ",Tableau3[[#This Row],[Const.]])</f>
        <v>SV Vul</v>
      </c>
      <c r="E457" s="112">
        <v>48488.5</v>
      </c>
      <c r="F457" s="112">
        <f>Tableau3[[#This Row],[ToM(+2400000)]]+2400000</f>
        <v>2448488.5</v>
      </c>
      <c r="G457" s="113">
        <v>0</v>
      </c>
      <c r="H457" s="114" t="s">
        <v>24</v>
      </c>
      <c r="I457" s="114" t="s">
        <v>285</v>
      </c>
      <c r="J457" s="111" t="s">
        <v>26</v>
      </c>
      <c r="K457" s="111" t="s">
        <v>171</v>
      </c>
      <c r="L457" s="111" t="s">
        <v>278</v>
      </c>
      <c r="M457" s="111"/>
      <c r="N457" s="111"/>
    </row>
    <row r="458" spans="1:14" x14ac:dyDescent="0.25">
      <c r="A458" s="111" t="s">
        <v>272</v>
      </c>
      <c r="B458" s="111" t="s">
        <v>254</v>
      </c>
      <c r="C458" s="111" t="s">
        <v>23</v>
      </c>
      <c r="D458" s="111" t="str">
        <f>_xlfn.CONCAT(Tableau3[[#This Row],[N.Star]]," ",Tableau3[[#This Row],[Const.]])</f>
        <v>SV Vul</v>
      </c>
      <c r="E458" s="112">
        <v>48756.5</v>
      </c>
      <c r="F458" s="112">
        <f>Tableau3[[#This Row],[ToM(+2400000)]]+2400000</f>
        <v>2448756.5</v>
      </c>
      <c r="G458" s="113">
        <v>0</v>
      </c>
      <c r="H458" s="114" t="s">
        <v>24</v>
      </c>
      <c r="I458" s="114" t="s">
        <v>286</v>
      </c>
      <c r="J458" s="111" t="s">
        <v>26</v>
      </c>
      <c r="K458" s="111" t="s">
        <v>171</v>
      </c>
      <c r="L458" s="111" t="s">
        <v>278</v>
      </c>
      <c r="M458" s="111"/>
      <c r="N458" s="111"/>
    </row>
    <row r="459" spans="1:14" x14ac:dyDescent="0.25">
      <c r="A459" s="111" t="s">
        <v>272</v>
      </c>
      <c r="B459" s="111" t="s">
        <v>254</v>
      </c>
      <c r="C459" s="111" t="s">
        <v>23</v>
      </c>
      <c r="D459" s="111" t="str">
        <f>_xlfn.CONCAT(Tableau3[[#This Row],[N.Star]]," ",Tableau3[[#This Row],[Const.]])</f>
        <v>SV Vul</v>
      </c>
      <c r="E459" s="112">
        <v>48894.400000000001</v>
      </c>
      <c r="F459" s="112">
        <f>Tableau3[[#This Row],[ToM(+2400000)]]+2400000</f>
        <v>2448894.4</v>
      </c>
      <c r="G459" s="113">
        <v>0</v>
      </c>
      <c r="H459" s="114" t="s">
        <v>24</v>
      </c>
      <c r="I459" s="114" t="s">
        <v>286</v>
      </c>
      <c r="J459" s="111" t="s">
        <v>26</v>
      </c>
      <c r="K459" s="111" t="s">
        <v>171</v>
      </c>
      <c r="L459" s="111" t="s">
        <v>278</v>
      </c>
      <c r="M459" s="111"/>
      <c r="N459" s="111"/>
    </row>
    <row r="460" spans="1:14" x14ac:dyDescent="0.25">
      <c r="A460" s="111" t="s">
        <v>272</v>
      </c>
      <c r="B460" s="111" t="s">
        <v>254</v>
      </c>
      <c r="C460" s="111" t="s">
        <v>23</v>
      </c>
      <c r="D460" s="111" t="str">
        <f>_xlfn.CONCAT(Tableau3[[#This Row],[N.Star]]," ",Tableau3[[#This Row],[Const.]])</f>
        <v>SV Vul</v>
      </c>
      <c r="E460" s="112">
        <v>49162.5</v>
      </c>
      <c r="F460" s="112">
        <f>Tableau3[[#This Row],[ToM(+2400000)]]+2400000</f>
        <v>2449162.5</v>
      </c>
      <c r="G460" s="113">
        <v>0</v>
      </c>
      <c r="H460" s="114" t="s">
        <v>24</v>
      </c>
      <c r="I460" s="114" t="s">
        <v>287</v>
      </c>
      <c r="J460" s="111" t="s">
        <v>26</v>
      </c>
      <c r="K460" s="111" t="s">
        <v>171</v>
      </c>
      <c r="L460" s="111" t="s">
        <v>278</v>
      </c>
      <c r="M460" s="111"/>
      <c r="N460" s="111"/>
    </row>
    <row r="461" spans="1:14" x14ac:dyDescent="0.25">
      <c r="A461" s="111" t="s">
        <v>272</v>
      </c>
      <c r="B461" s="111" t="s">
        <v>254</v>
      </c>
      <c r="C461" s="111" t="s">
        <v>23</v>
      </c>
      <c r="D461" s="111" t="str">
        <f>_xlfn.CONCAT(Tableau3[[#This Row],[N.Star]]," ",Tableau3[[#This Row],[Const.]])</f>
        <v>SV Vul</v>
      </c>
      <c r="E461" s="112">
        <v>49520.5</v>
      </c>
      <c r="F461" s="112">
        <f>Tableau3[[#This Row],[ToM(+2400000)]]+2400000</f>
        <v>2449520.5</v>
      </c>
      <c r="G461" s="113">
        <v>0</v>
      </c>
      <c r="H461" s="114" t="s">
        <v>24</v>
      </c>
      <c r="I461" s="114" t="s">
        <v>288</v>
      </c>
      <c r="J461" s="111" t="s">
        <v>26</v>
      </c>
      <c r="K461" s="111" t="s">
        <v>171</v>
      </c>
      <c r="L461" s="111" t="s">
        <v>278</v>
      </c>
      <c r="M461" s="111"/>
      <c r="N461" s="111"/>
    </row>
    <row r="462" spans="1:14" x14ac:dyDescent="0.25">
      <c r="A462" s="111" t="s">
        <v>272</v>
      </c>
      <c r="B462" s="111" t="s">
        <v>254</v>
      </c>
      <c r="C462" s="111" t="s">
        <v>23</v>
      </c>
      <c r="D462" s="111" t="str">
        <f>_xlfn.CONCAT(Tableau3[[#This Row],[N.Star]]," ",Tableau3[[#This Row],[Const.]])</f>
        <v>SV Vul</v>
      </c>
      <c r="E462" s="112">
        <v>49924.5</v>
      </c>
      <c r="F462" s="112">
        <f>Tableau3[[#This Row],[ToM(+2400000)]]+2400000</f>
        <v>2449924.5</v>
      </c>
      <c r="G462" s="113">
        <v>0</v>
      </c>
      <c r="H462" s="114" t="s">
        <v>24</v>
      </c>
      <c r="I462" s="114" t="s">
        <v>289</v>
      </c>
      <c r="J462" s="111" t="s">
        <v>26</v>
      </c>
      <c r="K462" s="111" t="s">
        <v>171</v>
      </c>
      <c r="L462" s="111" t="s">
        <v>278</v>
      </c>
      <c r="M462" s="111"/>
      <c r="N462" s="111"/>
    </row>
    <row r="463" spans="1:14" x14ac:dyDescent="0.25">
      <c r="A463" s="111" t="s">
        <v>272</v>
      </c>
      <c r="B463" s="111" t="s">
        <v>254</v>
      </c>
      <c r="C463" s="111" t="s">
        <v>23</v>
      </c>
      <c r="D463" s="111" t="str">
        <f>_xlfn.CONCAT(Tableau3[[#This Row],[N.Star]]," ",Tableau3[[#This Row],[Const.]])</f>
        <v>SV Vul</v>
      </c>
      <c r="E463" s="112">
        <v>49972.5</v>
      </c>
      <c r="F463" s="112">
        <f>Tableau3[[#This Row],[ToM(+2400000)]]+2400000</f>
        <v>2449972.5</v>
      </c>
      <c r="G463" s="113">
        <v>0</v>
      </c>
      <c r="H463" s="114" t="s">
        <v>24</v>
      </c>
      <c r="I463" s="114" t="s">
        <v>289</v>
      </c>
      <c r="J463" s="111" t="s">
        <v>26</v>
      </c>
      <c r="K463" s="111" t="s">
        <v>171</v>
      </c>
      <c r="L463" s="111" t="s">
        <v>278</v>
      </c>
      <c r="M463" s="111"/>
      <c r="N463" s="111"/>
    </row>
    <row r="464" spans="1:14" x14ac:dyDescent="0.25">
      <c r="A464" s="111" t="s">
        <v>272</v>
      </c>
      <c r="B464" s="111" t="s">
        <v>254</v>
      </c>
      <c r="C464" s="111" t="s">
        <v>23</v>
      </c>
      <c r="D464" s="111" t="str">
        <f>_xlfn.CONCAT(Tableau3[[#This Row],[N.Star]]," ",Tableau3[[#This Row],[Const.]])</f>
        <v>SV Vul</v>
      </c>
      <c r="E464" s="112">
        <v>50015.3</v>
      </c>
      <c r="F464" s="112">
        <f>Tableau3[[#This Row],[ToM(+2400000)]]+2400000</f>
        <v>2450015.2999999998</v>
      </c>
      <c r="G464" s="113">
        <v>0</v>
      </c>
      <c r="H464" s="114" t="s">
        <v>24</v>
      </c>
      <c r="I464" s="114" t="s">
        <v>289</v>
      </c>
      <c r="J464" s="111" t="s">
        <v>26</v>
      </c>
      <c r="K464" s="111" t="s">
        <v>171</v>
      </c>
      <c r="L464" s="111" t="s">
        <v>278</v>
      </c>
      <c r="M464" s="111"/>
      <c r="N464" s="111"/>
    </row>
    <row r="465" spans="1:14" x14ac:dyDescent="0.25">
      <c r="A465" s="111" t="s">
        <v>272</v>
      </c>
      <c r="B465" s="111" t="s">
        <v>254</v>
      </c>
      <c r="C465" s="111" t="s">
        <v>23</v>
      </c>
      <c r="D465" s="111" t="str">
        <f>_xlfn.CONCAT(Tableau3[[#This Row],[N.Star]]," ",Tableau3[[#This Row],[Const.]])</f>
        <v>SV Vul</v>
      </c>
      <c r="E465" s="112">
        <v>50238.5</v>
      </c>
      <c r="F465" s="112">
        <f>Tableau3[[#This Row],[ToM(+2400000)]]+2400000</f>
        <v>2450238.5</v>
      </c>
      <c r="G465" s="113">
        <v>0</v>
      </c>
      <c r="H465" s="114" t="s">
        <v>24</v>
      </c>
      <c r="I465" s="114" t="s">
        <v>290</v>
      </c>
      <c r="J465" s="111" t="s">
        <v>26</v>
      </c>
      <c r="K465" s="111" t="s">
        <v>171</v>
      </c>
      <c r="L465" s="111" t="s">
        <v>278</v>
      </c>
      <c r="M465" s="111"/>
      <c r="N465" s="111"/>
    </row>
    <row r="466" spans="1:14" x14ac:dyDescent="0.25">
      <c r="A466" s="111" t="s">
        <v>272</v>
      </c>
      <c r="B466" s="111" t="s">
        <v>254</v>
      </c>
      <c r="C466" s="111" t="s">
        <v>23</v>
      </c>
      <c r="D466" s="111" t="str">
        <f>_xlfn.CONCAT(Tableau3[[#This Row],[N.Star]]," ",Tableau3[[#This Row],[Const.]])</f>
        <v>SV Vul</v>
      </c>
      <c r="E466" s="112">
        <v>50285.5</v>
      </c>
      <c r="F466" s="112">
        <f>Tableau3[[#This Row],[ToM(+2400000)]]+2400000</f>
        <v>2450285.5</v>
      </c>
      <c r="G466" s="113">
        <v>0</v>
      </c>
      <c r="H466" s="114" t="s">
        <v>24</v>
      </c>
      <c r="I466" s="114" t="s">
        <v>291</v>
      </c>
      <c r="J466" s="111" t="s">
        <v>26</v>
      </c>
      <c r="K466" s="111" t="s">
        <v>171</v>
      </c>
      <c r="L466" s="111" t="s">
        <v>278</v>
      </c>
      <c r="M466" s="111"/>
      <c r="N466" s="111"/>
    </row>
    <row r="467" spans="1:14" x14ac:dyDescent="0.25">
      <c r="A467" s="111" t="s">
        <v>272</v>
      </c>
      <c r="B467" s="111" t="s">
        <v>254</v>
      </c>
      <c r="C467" s="111" t="s">
        <v>23</v>
      </c>
      <c r="D467" s="111" t="str">
        <f>_xlfn.CONCAT(Tableau3[[#This Row],[N.Star]]," ",Tableau3[[#This Row],[Const.]])</f>
        <v>SV Vul</v>
      </c>
      <c r="E467" s="112">
        <v>50330</v>
      </c>
      <c r="F467" s="112">
        <f>Tableau3[[#This Row],[ToM(+2400000)]]+2400000</f>
        <v>2450330</v>
      </c>
      <c r="G467" s="113">
        <v>0</v>
      </c>
      <c r="H467" s="114" t="s">
        <v>24</v>
      </c>
      <c r="I467" s="114" t="s">
        <v>292</v>
      </c>
      <c r="J467" s="111" t="s">
        <v>26</v>
      </c>
      <c r="K467" s="111" t="s">
        <v>171</v>
      </c>
      <c r="L467" s="111" t="s">
        <v>278</v>
      </c>
      <c r="M467" s="111"/>
      <c r="N467" s="111"/>
    </row>
    <row r="468" spans="1:14" x14ac:dyDescent="0.25">
      <c r="A468" s="111" t="s">
        <v>272</v>
      </c>
      <c r="B468" s="111" t="s">
        <v>254</v>
      </c>
      <c r="C468" s="111" t="s">
        <v>23</v>
      </c>
      <c r="D468" s="111" t="str">
        <f>_xlfn.CONCAT(Tableau3[[#This Row],[N.Star]]," ",Tableau3[[#This Row],[Const.]])</f>
        <v>SV Vul</v>
      </c>
      <c r="E468" s="112">
        <v>50644.5</v>
      </c>
      <c r="F468" s="112">
        <f>Tableau3[[#This Row],[ToM(+2400000)]]+2400000</f>
        <v>2450644.5</v>
      </c>
      <c r="G468" s="113">
        <v>0</v>
      </c>
      <c r="H468" s="114" t="s">
        <v>24</v>
      </c>
      <c r="I468" s="114" t="s">
        <v>293</v>
      </c>
      <c r="J468" s="111" t="s">
        <v>26</v>
      </c>
      <c r="K468" s="111" t="s">
        <v>171</v>
      </c>
      <c r="L468" s="111" t="s">
        <v>278</v>
      </c>
      <c r="M468" s="111"/>
      <c r="N468" s="111"/>
    </row>
    <row r="469" spans="1:14" x14ac:dyDescent="0.25">
      <c r="A469" s="111" t="s">
        <v>272</v>
      </c>
      <c r="B469" s="111" t="s">
        <v>254</v>
      </c>
      <c r="C469" s="111" t="s">
        <v>23</v>
      </c>
      <c r="D469" s="111" t="str">
        <f>_xlfn.CONCAT(Tableau3[[#This Row],[N.Star]]," ",Tableau3[[#This Row],[Const.]])</f>
        <v>SV Vul</v>
      </c>
      <c r="E469" s="112">
        <v>50690.5</v>
      </c>
      <c r="F469" s="112">
        <f>Tableau3[[#This Row],[ToM(+2400000)]]+2400000</f>
        <v>2450690.5</v>
      </c>
      <c r="G469" s="113">
        <v>0</v>
      </c>
      <c r="H469" s="114" t="s">
        <v>24</v>
      </c>
      <c r="I469" s="114" t="s">
        <v>293</v>
      </c>
      <c r="J469" s="111" t="s">
        <v>26</v>
      </c>
      <c r="K469" s="111" t="s">
        <v>171</v>
      </c>
      <c r="L469" s="111" t="s">
        <v>278</v>
      </c>
      <c r="M469" s="111"/>
      <c r="N469" s="111"/>
    </row>
    <row r="470" spans="1:14" x14ac:dyDescent="0.25">
      <c r="A470" s="111" t="s">
        <v>272</v>
      </c>
      <c r="B470" s="111" t="s">
        <v>254</v>
      </c>
      <c r="C470" s="111" t="s">
        <v>23</v>
      </c>
      <c r="D470" s="111" t="str">
        <f>_xlfn.CONCAT(Tableau3[[#This Row],[N.Star]]," ",Tableau3[[#This Row],[Const.]])</f>
        <v>SV Vul</v>
      </c>
      <c r="E470" s="112">
        <v>51004</v>
      </c>
      <c r="F470" s="112">
        <f>Tableau3[[#This Row],[ToM(+2400000)]]+2400000</f>
        <v>2451004</v>
      </c>
      <c r="G470" s="113">
        <v>0</v>
      </c>
      <c r="H470" s="114" t="s">
        <v>24</v>
      </c>
      <c r="I470" s="114" t="s">
        <v>294</v>
      </c>
      <c r="J470" s="111" t="s">
        <v>26</v>
      </c>
      <c r="K470" s="111" t="s">
        <v>171</v>
      </c>
      <c r="L470" s="111" t="s">
        <v>278</v>
      </c>
      <c r="M470" s="111"/>
      <c r="N470" s="111"/>
    </row>
    <row r="471" spans="1:14" x14ac:dyDescent="0.25">
      <c r="A471" s="111" t="s">
        <v>272</v>
      </c>
      <c r="B471" s="111" t="s">
        <v>254</v>
      </c>
      <c r="C471" s="111" t="s">
        <v>23</v>
      </c>
      <c r="D471" s="111" t="str">
        <f>_xlfn.CONCAT(Tableau3[[#This Row],[N.Star]]," ",Tableau3[[#This Row],[Const.]])</f>
        <v>SV Vul</v>
      </c>
      <c r="E471" s="112">
        <v>51048.4</v>
      </c>
      <c r="F471" s="112">
        <f>Tableau3[[#This Row],[ToM(+2400000)]]+2400000</f>
        <v>2451048.4</v>
      </c>
      <c r="G471" s="113">
        <v>0</v>
      </c>
      <c r="H471" s="114" t="s">
        <v>24</v>
      </c>
      <c r="I471" s="114" t="s">
        <v>294</v>
      </c>
      <c r="J471" s="111" t="s">
        <v>26</v>
      </c>
      <c r="K471" s="111" t="s">
        <v>171</v>
      </c>
      <c r="L471" s="111" t="s">
        <v>278</v>
      </c>
      <c r="M471" s="111"/>
      <c r="N471" s="111"/>
    </row>
    <row r="472" spans="1:14" x14ac:dyDescent="0.25">
      <c r="A472" s="111" t="s">
        <v>272</v>
      </c>
      <c r="B472" s="111" t="s">
        <v>254</v>
      </c>
      <c r="C472" s="111" t="s">
        <v>23</v>
      </c>
      <c r="D472" s="111" t="str">
        <f>_xlfn.CONCAT(Tableau3[[#This Row],[N.Star]]," ",Tableau3[[#This Row],[Const.]])</f>
        <v>SV Vul</v>
      </c>
      <c r="E472" s="112">
        <v>51363.4</v>
      </c>
      <c r="F472" s="112">
        <f>Tableau3[[#This Row],[ToM(+2400000)]]+2400000</f>
        <v>2451363.4</v>
      </c>
      <c r="G472" s="113">
        <v>0</v>
      </c>
      <c r="H472" s="114" t="s">
        <v>24</v>
      </c>
      <c r="I472" s="114" t="s">
        <v>295</v>
      </c>
      <c r="J472" s="111" t="s">
        <v>26</v>
      </c>
      <c r="K472" s="111" t="s">
        <v>171</v>
      </c>
      <c r="L472" s="111" t="s">
        <v>278</v>
      </c>
      <c r="M472" s="111"/>
      <c r="N472" s="111"/>
    </row>
    <row r="473" spans="1:14" x14ac:dyDescent="0.25">
      <c r="A473" s="111" t="s">
        <v>272</v>
      </c>
      <c r="B473" s="111" t="s">
        <v>254</v>
      </c>
      <c r="C473" s="111" t="s">
        <v>23</v>
      </c>
      <c r="D473" s="111" t="str">
        <f>_xlfn.CONCAT(Tableau3[[#This Row],[N.Star]]," ",Tableau3[[#This Row],[Const.]])</f>
        <v>SV Vul</v>
      </c>
      <c r="E473" s="112">
        <v>51454.400000000001</v>
      </c>
      <c r="F473" s="112">
        <f>Tableau3[[#This Row],[ToM(+2400000)]]+2400000</f>
        <v>2451454.4</v>
      </c>
      <c r="G473" s="113">
        <v>0</v>
      </c>
      <c r="H473" s="114" t="s">
        <v>24</v>
      </c>
      <c r="I473" s="114" t="s">
        <v>295</v>
      </c>
      <c r="J473" s="111" t="s">
        <v>26</v>
      </c>
      <c r="K473" s="111" t="s">
        <v>171</v>
      </c>
      <c r="L473" s="111" t="s">
        <v>278</v>
      </c>
      <c r="M473" s="111"/>
      <c r="N473" s="111"/>
    </row>
    <row r="474" spans="1:14" x14ac:dyDescent="0.25">
      <c r="A474" s="111" t="s">
        <v>272</v>
      </c>
      <c r="B474" s="111" t="s">
        <v>254</v>
      </c>
      <c r="C474" s="111" t="s">
        <v>23</v>
      </c>
      <c r="D474" s="111" t="str">
        <f>_xlfn.CONCAT(Tableau3[[#This Row],[N.Star]]," ",Tableau3[[#This Row],[Const.]])</f>
        <v>SV Vul</v>
      </c>
      <c r="E474" s="112">
        <v>51722.400000000001</v>
      </c>
      <c r="F474" s="112">
        <f>Tableau3[[#This Row],[ToM(+2400000)]]+2400000</f>
        <v>2451722.4</v>
      </c>
      <c r="G474" s="113">
        <v>0</v>
      </c>
      <c r="H474" s="114" t="s">
        <v>24</v>
      </c>
      <c r="I474" s="114" t="s">
        <v>296</v>
      </c>
      <c r="J474" s="111" t="s">
        <v>26</v>
      </c>
      <c r="K474" s="111" t="s">
        <v>171</v>
      </c>
      <c r="L474" s="111" t="s">
        <v>278</v>
      </c>
      <c r="M474" s="111"/>
      <c r="N474" s="111"/>
    </row>
    <row r="475" spans="1:14" x14ac:dyDescent="0.25">
      <c r="A475" s="111" t="s">
        <v>272</v>
      </c>
      <c r="B475" s="111" t="s">
        <v>254</v>
      </c>
      <c r="C475" s="111" t="s">
        <v>23</v>
      </c>
      <c r="D475" s="111" t="str">
        <f>_xlfn.CONCAT(Tableau3[[#This Row],[N.Star]]," ",Tableau3[[#This Row],[Const.]])</f>
        <v>SV Vul</v>
      </c>
      <c r="E475" s="112">
        <v>51768.3</v>
      </c>
      <c r="F475" s="112">
        <f>Tableau3[[#This Row],[ToM(+2400000)]]+2400000</f>
        <v>2451768.2999999998</v>
      </c>
      <c r="G475" s="113">
        <v>0</v>
      </c>
      <c r="H475" s="114" t="s">
        <v>24</v>
      </c>
      <c r="I475" s="114" t="s">
        <v>296</v>
      </c>
      <c r="J475" s="111" t="s">
        <v>26</v>
      </c>
      <c r="K475" s="111" t="s">
        <v>171</v>
      </c>
      <c r="L475" s="111" t="s">
        <v>278</v>
      </c>
      <c r="M475" s="111"/>
      <c r="N475" s="111"/>
    </row>
    <row r="476" spans="1:14" x14ac:dyDescent="0.25">
      <c r="A476" s="111" t="s">
        <v>272</v>
      </c>
      <c r="B476" s="111" t="s">
        <v>254</v>
      </c>
      <c r="C476" s="111" t="s">
        <v>23</v>
      </c>
      <c r="D476" s="111" t="str">
        <f>_xlfn.CONCAT(Tableau3[[#This Row],[N.Star]]," ",Tableau3[[#This Row],[Const.]])</f>
        <v>SV Vul</v>
      </c>
      <c r="E476" s="112">
        <v>51813.5</v>
      </c>
      <c r="F476" s="112">
        <f>Tableau3[[#This Row],[ToM(+2400000)]]+2400000</f>
        <v>2451813.5</v>
      </c>
      <c r="G476" s="113">
        <v>0</v>
      </c>
      <c r="H476" s="114" t="s">
        <v>24</v>
      </c>
      <c r="I476" s="114" t="s">
        <v>296</v>
      </c>
      <c r="J476" s="111" t="s">
        <v>26</v>
      </c>
      <c r="K476" s="111" t="s">
        <v>171</v>
      </c>
      <c r="L476" s="111" t="s">
        <v>278</v>
      </c>
      <c r="M476" s="111"/>
      <c r="N476" s="111"/>
    </row>
    <row r="477" spans="1:14" x14ac:dyDescent="0.25">
      <c r="A477" s="111" t="s">
        <v>272</v>
      </c>
      <c r="B477" s="111" t="s">
        <v>254</v>
      </c>
      <c r="C477" s="111" t="s">
        <v>23</v>
      </c>
      <c r="D477" s="111" t="str">
        <f>_xlfn.CONCAT(Tableau3[[#This Row],[N.Star]]," ",Tableau3[[#This Row],[Const.]])</f>
        <v>SV Vul</v>
      </c>
      <c r="E477" s="112">
        <v>52081.42</v>
      </c>
      <c r="F477" s="112">
        <f>Tableau3[[#This Row],[ToM(+2400000)]]+2400000</f>
        <v>2452081.42</v>
      </c>
      <c r="G477" s="113">
        <v>0</v>
      </c>
      <c r="H477" s="114" t="s">
        <v>24</v>
      </c>
      <c r="I477" s="114" t="s">
        <v>297</v>
      </c>
      <c r="J477" s="111" t="s">
        <v>26</v>
      </c>
      <c r="K477" s="111" t="s">
        <v>171</v>
      </c>
      <c r="L477" s="111" t="s">
        <v>278</v>
      </c>
      <c r="M477" s="111"/>
      <c r="N477" s="111"/>
    </row>
    <row r="478" spans="1:14" x14ac:dyDescent="0.25">
      <c r="A478" s="111" t="s">
        <v>272</v>
      </c>
      <c r="B478" s="111" t="s">
        <v>254</v>
      </c>
      <c r="C478" s="111" t="s">
        <v>23</v>
      </c>
      <c r="D478" s="111" t="str">
        <f>_xlfn.CONCAT(Tableau3[[#This Row],[N.Star]]," ",Tableau3[[#This Row],[Const.]])</f>
        <v>SV Vul</v>
      </c>
      <c r="E478" s="112">
        <v>52132.41</v>
      </c>
      <c r="F478" s="112">
        <f>Tableau3[[#This Row],[ToM(+2400000)]]+2400000</f>
        <v>2452132.41</v>
      </c>
      <c r="G478" s="113">
        <v>0</v>
      </c>
      <c r="H478" s="114" t="s">
        <v>24</v>
      </c>
      <c r="I478" s="114" t="s">
        <v>297</v>
      </c>
      <c r="J478" s="111" t="s">
        <v>26</v>
      </c>
      <c r="K478" s="111" t="s">
        <v>171</v>
      </c>
      <c r="L478" s="111" t="s">
        <v>278</v>
      </c>
      <c r="M478" s="111"/>
      <c r="N478" s="111"/>
    </row>
    <row r="479" spans="1:14" x14ac:dyDescent="0.25">
      <c r="A479" s="111" t="s">
        <v>272</v>
      </c>
      <c r="B479" s="111" t="s">
        <v>254</v>
      </c>
      <c r="C479" s="111" t="s">
        <v>23</v>
      </c>
      <c r="D479" s="111" t="str">
        <f>_xlfn.CONCAT(Tableau3[[#This Row],[N.Star]]," ",Tableau3[[#This Row],[Const.]])</f>
        <v>SV Vul</v>
      </c>
      <c r="E479" s="112">
        <v>52172.5</v>
      </c>
      <c r="F479" s="112">
        <f>Tableau3[[#This Row],[ToM(+2400000)]]+2400000</f>
        <v>2452172.5</v>
      </c>
      <c r="G479" s="113">
        <v>0</v>
      </c>
      <c r="H479" s="114" t="s">
        <v>24</v>
      </c>
      <c r="I479" s="114" t="s">
        <v>297</v>
      </c>
      <c r="J479" s="111" t="s">
        <v>26</v>
      </c>
      <c r="K479" s="111" t="s">
        <v>171</v>
      </c>
      <c r="L479" s="111" t="s">
        <v>278</v>
      </c>
      <c r="M479" s="111"/>
      <c r="N479" s="111"/>
    </row>
    <row r="480" spans="1:14" x14ac:dyDescent="0.25">
      <c r="A480" s="111" t="s">
        <v>272</v>
      </c>
      <c r="B480" s="111" t="s">
        <v>254</v>
      </c>
      <c r="C480" s="111" t="s">
        <v>23</v>
      </c>
      <c r="D480" s="111" t="str">
        <f>_xlfn.CONCAT(Tableau3[[#This Row],[N.Star]]," ",Tableau3[[#This Row],[Const.]])</f>
        <v>SV Vul</v>
      </c>
      <c r="E480" s="118">
        <v>52484.41</v>
      </c>
      <c r="F480" s="112">
        <f>Tableau3[[#This Row],[ToM(+2400000)]]+2400000</f>
        <v>2452484.41</v>
      </c>
      <c r="G480" s="113">
        <v>0</v>
      </c>
      <c r="H480" s="114" t="s">
        <v>24</v>
      </c>
      <c r="I480" s="114" t="s">
        <v>298</v>
      </c>
      <c r="J480" s="111" t="s">
        <v>26</v>
      </c>
      <c r="K480" s="111" t="s">
        <v>171</v>
      </c>
      <c r="L480" s="111" t="s">
        <v>278</v>
      </c>
      <c r="M480" s="111"/>
      <c r="N480" s="111"/>
    </row>
    <row r="481" spans="1:14" x14ac:dyDescent="0.25">
      <c r="A481" s="111" t="s">
        <v>272</v>
      </c>
      <c r="B481" s="111" t="s">
        <v>254</v>
      </c>
      <c r="C481" s="111" t="s">
        <v>23</v>
      </c>
      <c r="D481" s="111" t="str">
        <f>_xlfn.CONCAT(Tableau3[[#This Row],[N.Star]]," ",Tableau3[[#This Row],[Const.]])</f>
        <v>SV Vul</v>
      </c>
      <c r="E481" s="119">
        <v>52530.400000000001</v>
      </c>
      <c r="F481" s="112">
        <f>Tableau3[[#This Row],[ToM(+2400000)]]+2400000</f>
        <v>2452530.4</v>
      </c>
      <c r="G481" s="113">
        <v>0</v>
      </c>
      <c r="H481" s="114" t="s">
        <v>24</v>
      </c>
      <c r="I481" s="114" t="s">
        <v>298</v>
      </c>
      <c r="J481" s="111" t="s">
        <v>26</v>
      </c>
      <c r="K481" s="111" t="s">
        <v>171</v>
      </c>
      <c r="L481" s="111" t="s">
        <v>278</v>
      </c>
      <c r="M481" s="111"/>
      <c r="N481" s="111"/>
    </row>
    <row r="482" spans="1:14" x14ac:dyDescent="0.25">
      <c r="A482" s="111" t="s">
        <v>272</v>
      </c>
      <c r="B482" s="111" t="s">
        <v>254</v>
      </c>
      <c r="C482" s="111" t="s">
        <v>23</v>
      </c>
      <c r="D482" s="111" t="str">
        <f>_xlfn.CONCAT(Tableau3[[#This Row],[N.Star]]," ",Tableau3[[#This Row],[Const.]])</f>
        <v>SV Vul</v>
      </c>
      <c r="E482" s="119">
        <v>52797.5</v>
      </c>
      <c r="F482" s="112">
        <f>Tableau3[[#This Row],[ToM(+2400000)]]+2400000</f>
        <v>2452797.5</v>
      </c>
      <c r="G482" s="113">
        <v>0</v>
      </c>
      <c r="H482" s="114" t="s">
        <v>24</v>
      </c>
      <c r="I482" s="114" t="s">
        <v>299</v>
      </c>
      <c r="J482" s="111" t="s">
        <v>26</v>
      </c>
      <c r="K482" s="111" t="s">
        <v>171</v>
      </c>
      <c r="L482" s="111" t="s">
        <v>278</v>
      </c>
      <c r="M482" s="111"/>
      <c r="N482" s="111"/>
    </row>
    <row r="483" spans="1:14" x14ac:dyDescent="0.25">
      <c r="A483" s="111" t="s">
        <v>272</v>
      </c>
      <c r="B483" s="111" t="s">
        <v>254</v>
      </c>
      <c r="C483" s="111" t="s">
        <v>23</v>
      </c>
      <c r="D483" s="111" t="str">
        <f>_xlfn.CONCAT(Tableau3[[#This Row],[N.Star]]," ",Tableau3[[#This Row],[Const.]])</f>
        <v>SV Vul</v>
      </c>
      <c r="E483" s="119">
        <v>52844.5</v>
      </c>
      <c r="F483" s="112">
        <f>Tableau3[[#This Row],[ToM(+2400000)]]+2400000</f>
        <v>2452844.5</v>
      </c>
      <c r="G483" s="113">
        <v>0</v>
      </c>
      <c r="H483" s="114" t="s">
        <v>24</v>
      </c>
      <c r="I483" s="114" t="s">
        <v>299</v>
      </c>
      <c r="J483" s="111" t="s">
        <v>26</v>
      </c>
      <c r="K483" s="111" t="s">
        <v>171</v>
      </c>
      <c r="L483" s="111" t="s">
        <v>278</v>
      </c>
      <c r="M483" s="111"/>
      <c r="N483" s="111"/>
    </row>
    <row r="484" spans="1:14" x14ac:dyDescent="0.25">
      <c r="A484" s="111" t="s">
        <v>272</v>
      </c>
      <c r="B484" s="111" t="s">
        <v>254</v>
      </c>
      <c r="C484" s="111" t="s">
        <v>23</v>
      </c>
      <c r="D484" s="111" t="str">
        <f>_xlfn.CONCAT(Tableau3[[#This Row],[N.Star]]," ",Tableau3[[#This Row],[Const.]])</f>
        <v>SV Vul</v>
      </c>
      <c r="E484" s="119">
        <v>52888.5</v>
      </c>
      <c r="F484" s="112">
        <f>Tableau3[[#This Row],[ToM(+2400000)]]+2400000</f>
        <v>2452888.5</v>
      </c>
      <c r="G484" s="113">
        <v>0</v>
      </c>
      <c r="H484" s="114" t="s">
        <v>24</v>
      </c>
      <c r="I484" s="114" t="s">
        <v>299</v>
      </c>
      <c r="J484" s="111" t="s">
        <v>26</v>
      </c>
      <c r="K484" s="111" t="s">
        <v>171</v>
      </c>
      <c r="L484" s="111" t="s">
        <v>278</v>
      </c>
      <c r="M484" s="111"/>
      <c r="N484" s="111"/>
    </row>
    <row r="485" spans="1:14" x14ac:dyDescent="0.25">
      <c r="A485" s="111" t="s">
        <v>272</v>
      </c>
      <c r="B485" s="111" t="s">
        <v>254</v>
      </c>
      <c r="C485" s="111" t="s">
        <v>23</v>
      </c>
      <c r="D485" s="111" t="str">
        <f>_xlfn.CONCAT(Tableau3[[#This Row],[N.Star]]," ",Tableau3[[#This Row],[Const.]])</f>
        <v>SV Vul</v>
      </c>
      <c r="E485" s="112">
        <v>53162.5</v>
      </c>
      <c r="F485" s="112">
        <f>Tableau3[[#This Row],[ToM(+2400000)]]+2400000</f>
        <v>2453162.5</v>
      </c>
      <c r="G485" s="113">
        <v>0</v>
      </c>
      <c r="H485" s="114" t="s">
        <v>24</v>
      </c>
      <c r="I485" s="114" t="s">
        <v>300</v>
      </c>
      <c r="J485" s="111" t="s">
        <v>26</v>
      </c>
      <c r="K485" s="111" t="s">
        <v>171</v>
      </c>
      <c r="L485" s="111" t="s">
        <v>278</v>
      </c>
      <c r="M485" s="111"/>
      <c r="N485" s="111"/>
    </row>
    <row r="486" spans="1:14" x14ac:dyDescent="0.25">
      <c r="A486" s="111" t="s">
        <v>272</v>
      </c>
      <c r="B486" s="111" t="s">
        <v>254</v>
      </c>
      <c r="C486" s="111" t="s">
        <v>23</v>
      </c>
      <c r="D486" s="111" t="str">
        <f>_xlfn.CONCAT(Tableau3[[#This Row],[N.Star]]," ",Tableau3[[#This Row],[Const.]])</f>
        <v>SV Vul</v>
      </c>
      <c r="E486" s="112">
        <v>53202.5</v>
      </c>
      <c r="F486" s="112">
        <f>Tableau3[[#This Row],[ToM(+2400000)]]+2400000</f>
        <v>2453202.5</v>
      </c>
      <c r="G486" s="113">
        <v>0</v>
      </c>
      <c r="H486" s="114" t="s">
        <v>24</v>
      </c>
      <c r="I486" s="114" t="s">
        <v>300</v>
      </c>
      <c r="J486" s="111" t="s">
        <v>26</v>
      </c>
      <c r="K486" s="111" t="s">
        <v>171</v>
      </c>
      <c r="L486" s="111" t="s">
        <v>278</v>
      </c>
      <c r="M486" s="111"/>
      <c r="N486" s="111"/>
    </row>
    <row r="487" spans="1:14" x14ac:dyDescent="0.25">
      <c r="A487" s="111" t="s">
        <v>272</v>
      </c>
      <c r="B487" s="111" t="s">
        <v>254</v>
      </c>
      <c r="C487" s="111" t="s">
        <v>23</v>
      </c>
      <c r="D487" s="111" t="str">
        <f>_xlfn.CONCAT(Tableau3[[#This Row],[N.Star]]," ",Tableau3[[#This Row],[Const.]])</f>
        <v>SV Vul</v>
      </c>
      <c r="E487" s="112">
        <v>53250.400000000001</v>
      </c>
      <c r="F487" s="112">
        <f>Tableau3[[#This Row],[ToM(+2400000)]]+2400000</f>
        <v>2453250.4</v>
      </c>
      <c r="G487" s="113">
        <v>0</v>
      </c>
      <c r="H487" s="114" t="s">
        <v>24</v>
      </c>
      <c r="I487" s="114" t="s">
        <v>300</v>
      </c>
      <c r="J487" s="111" t="s">
        <v>26</v>
      </c>
      <c r="K487" s="111" t="s">
        <v>171</v>
      </c>
      <c r="L487" s="111" t="s">
        <v>278</v>
      </c>
      <c r="M487" s="111"/>
      <c r="N487" s="111"/>
    </row>
    <row r="488" spans="1:14" x14ac:dyDescent="0.25">
      <c r="A488" s="111" t="s">
        <v>272</v>
      </c>
      <c r="B488" s="111" t="s">
        <v>254</v>
      </c>
      <c r="C488" s="111" t="s">
        <v>23</v>
      </c>
      <c r="D488" s="111" t="str">
        <f>_xlfn.CONCAT(Tableau3[[#This Row],[N.Star]]," ",Tableau3[[#This Row],[Const.]])</f>
        <v>SV Vul</v>
      </c>
      <c r="E488" s="112">
        <v>53561.5</v>
      </c>
      <c r="F488" s="112">
        <f>Tableau3[[#This Row],[ToM(+2400000)]]+2400000</f>
        <v>2453561.5</v>
      </c>
      <c r="G488" s="113">
        <v>0</v>
      </c>
      <c r="H488" s="114" t="s">
        <v>24</v>
      </c>
      <c r="I488" s="114" t="s">
        <v>301</v>
      </c>
      <c r="J488" s="111" t="s">
        <v>26</v>
      </c>
      <c r="K488" s="111" t="s">
        <v>171</v>
      </c>
      <c r="L488" s="111" t="s">
        <v>278</v>
      </c>
      <c r="M488" s="111"/>
      <c r="N488" s="111"/>
    </row>
    <row r="489" spans="1:14" x14ac:dyDescent="0.25">
      <c r="A489" s="111" t="s">
        <v>272</v>
      </c>
      <c r="B489" s="111" t="s">
        <v>254</v>
      </c>
      <c r="C489" s="111" t="s">
        <v>23</v>
      </c>
      <c r="D489" s="111" t="str">
        <f>_xlfn.CONCAT(Tableau3[[#This Row],[N.Star]]," ",Tableau3[[#This Row],[Const.]])</f>
        <v>SV Vul</v>
      </c>
      <c r="E489" s="112">
        <v>53608.4</v>
      </c>
      <c r="F489" s="112">
        <f>Tableau3[[#This Row],[ToM(+2400000)]]+2400000</f>
        <v>2453608.4</v>
      </c>
      <c r="G489" s="113">
        <v>0</v>
      </c>
      <c r="H489" s="114" t="s">
        <v>24</v>
      </c>
      <c r="I489" s="114" t="s">
        <v>301</v>
      </c>
      <c r="J489" s="111" t="s">
        <v>26</v>
      </c>
      <c r="K489" s="111" t="s">
        <v>171</v>
      </c>
      <c r="L489" s="111" t="s">
        <v>278</v>
      </c>
      <c r="M489" s="111"/>
      <c r="N489" s="111"/>
    </row>
    <row r="490" spans="1:14" x14ac:dyDescent="0.25">
      <c r="A490" s="111" t="s">
        <v>272</v>
      </c>
      <c r="B490" s="111" t="s">
        <v>254</v>
      </c>
      <c r="C490" s="111" t="s">
        <v>23</v>
      </c>
      <c r="D490" s="111" t="str">
        <f>_xlfn.CONCAT(Tableau3[[#This Row],[N.Star]]," ",Tableau3[[#This Row],[Const.]])</f>
        <v>SV Vul</v>
      </c>
      <c r="E490" s="112">
        <v>53927.5</v>
      </c>
      <c r="F490" s="112">
        <f>Tableau3[[#This Row],[ToM(+2400000)]]+2400000</f>
        <v>2453927.5</v>
      </c>
      <c r="G490" s="113">
        <v>0</v>
      </c>
      <c r="H490" s="114" t="s">
        <v>24</v>
      </c>
      <c r="I490" s="114" t="s">
        <v>302</v>
      </c>
      <c r="J490" s="111" t="s">
        <v>26</v>
      </c>
      <c r="K490" s="111" t="s">
        <v>171</v>
      </c>
      <c r="L490" s="111" t="s">
        <v>278</v>
      </c>
      <c r="M490" s="111"/>
      <c r="N490" s="111"/>
    </row>
    <row r="491" spans="1:14" x14ac:dyDescent="0.25">
      <c r="A491" s="111" t="s">
        <v>272</v>
      </c>
      <c r="B491" s="111" t="s">
        <v>254</v>
      </c>
      <c r="C491" s="111" t="s">
        <v>23</v>
      </c>
      <c r="D491" s="111" t="str">
        <f>_xlfn.CONCAT(Tableau3[[#This Row],[N.Star]]," ",Tableau3[[#This Row],[Const.]])</f>
        <v>SV Vul</v>
      </c>
      <c r="E491" s="112">
        <v>54285.5</v>
      </c>
      <c r="F491" s="112">
        <f>Tableau3[[#This Row],[ToM(+2400000)]]+2400000</f>
        <v>2454285.5</v>
      </c>
      <c r="G491" s="113">
        <v>0</v>
      </c>
      <c r="H491" s="114" t="s">
        <v>24</v>
      </c>
      <c r="I491" s="114" t="s">
        <v>303</v>
      </c>
      <c r="J491" s="111" t="s">
        <v>26</v>
      </c>
      <c r="K491" s="111" t="s">
        <v>171</v>
      </c>
      <c r="L491" s="111" t="s">
        <v>278</v>
      </c>
      <c r="M491" s="111"/>
      <c r="N491" s="111"/>
    </row>
    <row r="492" spans="1:14" x14ac:dyDescent="0.25">
      <c r="A492" s="111" t="s">
        <v>272</v>
      </c>
      <c r="B492" s="111" t="s">
        <v>254</v>
      </c>
      <c r="C492" s="111" t="s">
        <v>23</v>
      </c>
      <c r="D492" s="111" t="str">
        <f>_xlfn.CONCAT(Tableau3[[#This Row],[N.Star]]," ",Tableau3[[#This Row],[Const.]])</f>
        <v>SV Vul</v>
      </c>
      <c r="E492" s="112">
        <v>54330.5</v>
      </c>
      <c r="F492" s="112">
        <f>Tableau3[[#This Row],[ToM(+2400000)]]+2400000</f>
        <v>2454330.5</v>
      </c>
      <c r="G492" s="113">
        <v>0</v>
      </c>
      <c r="H492" s="114" t="s">
        <v>24</v>
      </c>
      <c r="I492" s="114" t="s">
        <v>303</v>
      </c>
      <c r="J492" s="111" t="s">
        <v>26</v>
      </c>
      <c r="K492" s="111" t="s">
        <v>171</v>
      </c>
      <c r="L492" s="111" t="s">
        <v>278</v>
      </c>
      <c r="M492" s="111"/>
      <c r="N492" s="111"/>
    </row>
    <row r="493" spans="1:14" x14ac:dyDescent="0.25">
      <c r="A493" s="111" t="s">
        <v>272</v>
      </c>
      <c r="B493" s="111" t="s">
        <v>254</v>
      </c>
      <c r="C493" s="111" t="s">
        <v>23</v>
      </c>
      <c r="D493" s="111" t="str">
        <f>_xlfn.CONCAT(Tableau3[[#This Row],[N.Star]]," ",Tableau3[[#This Row],[Const.]])</f>
        <v>SV Vul</v>
      </c>
      <c r="E493" s="112">
        <v>54378.400000000001</v>
      </c>
      <c r="F493" s="112">
        <f>Tableau3[[#This Row],[ToM(+2400000)]]+2400000</f>
        <v>2454378.4</v>
      </c>
      <c r="G493" s="113">
        <v>0</v>
      </c>
      <c r="H493" s="114" t="s">
        <v>24</v>
      </c>
      <c r="I493" s="114" t="s">
        <v>303</v>
      </c>
      <c r="J493" s="111" t="s">
        <v>26</v>
      </c>
      <c r="K493" s="111" t="s">
        <v>171</v>
      </c>
      <c r="L493" s="111" t="s">
        <v>278</v>
      </c>
      <c r="M493" s="111"/>
      <c r="N493" s="111"/>
    </row>
    <row r="494" spans="1:14" x14ac:dyDescent="0.25">
      <c r="A494" s="111" t="s">
        <v>272</v>
      </c>
      <c r="B494" s="111" t="s">
        <v>254</v>
      </c>
      <c r="C494" s="111" t="s">
        <v>23</v>
      </c>
      <c r="D494" s="111" t="str">
        <f>_xlfn.CONCAT(Tableau3[[#This Row],[N.Star]]," ",Tableau3[[#This Row],[Const.]])</f>
        <v>SV Vul</v>
      </c>
      <c r="E494" s="112">
        <v>54643.5</v>
      </c>
      <c r="F494" s="112">
        <f>Tableau3[[#This Row],[ToM(+2400000)]]+2400000</f>
        <v>2454643.5</v>
      </c>
      <c r="G494" s="113">
        <v>0</v>
      </c>
      <c r="H494" s="114" t="s">
        <v>24</v>
      </c>
      <c r="I494" s="114" t="s">
        <v>304</v>
      </c>
      <c r="J494" s="111" t="s">
        <v>26</v>
      </c>
      <c r="K494" s="111" t="s">
        <v>171</v>
      </c>
      <c r="L494" s="111" t="s">
        <v>278</v>
      </c>
      <c r="M494" s="111"/>
      <c r="N494" s="111"/>
    </row>
    <row r="495" spans="1:14" x14ac:dyDescent="0.25">
      <c r="A495" s="111" t="s">
        <v>272</v>
      </c>
      <c r="B495" s="111" t="s">
        <v>254</v>
      </c>
      <c r="C495" s="111" t="s">
        <v>23</v>
      </c>
      <c r="D495" s="111" t="str">
        <f>_xlfn.CONCAT(Tableau3[[#This Row],[N.Star]]," ",Tableau3[[#This Row],[Const.]])</f>
        <v>SV Vul</v>
      </c>
      <c r="E495" s="112">
        <v>54735.5</v>
      </c>
      <c r="F495" s="112">
        <f>Tableau3[[#This Row],[ToM(+2400000)]]+2400000</f>
        <v>2454735.5</v>
      </c>
      <c r="G495" s="113">
        <v>0</v>
      </c>
      <c r="H495" s="114" t="s">
        <v>24</v>
      </c>
      <c r="I495" s="114" t="s">
        <v>304</v>
      </c>
      <c r="J495" s="111" t="s">
        <v>26</v>
      </c>
      <c r="K495" s="111" t="s">
        <v>171</v>
      </c>
      <c r="L495" s="111" t="s">
        <v>278</v>
      </c>
      <c r="M495" s="111"/>
      <c r="N495" s="111"/>
    </row>
    <row r="496" spans="1:14" x14ac:dyDescent="0.25">
      <c r="A496" s="111" t="s">
        <v>272</v>
      </c>
      <c r="B496" s="111" t="s">
        <v>254</v>
      </c>
      <c r="C496" s="111" t="s">
        <v>23</v>
      </c>
      <c r="D496" s="111" t="str">
        <f>_xlfn.CONCAT(Tableau3[[#This Row],[N.Star]]," ",Tableau3[[#This Row],[Const.]])</f>
        <v>SV Vul</v>
      </c>
      <c r="E496" s="112">
        <v>55003.5</v>
      </c>
      <c r="F496" s="112">
        <f>Tableau3[[#This Row],[ToM(+2400000)]]+2400000</f>
        <v>2455003.5</v>
      </c>
      <c r="G496" s="113">
        <v>0</v>
      </c>
      <c r="H496" s="114" t="s">
        <v>24</v>
      </c>
      <c r="I496" s="114" t="s">
        <v>305</v>
      </c>
      <c r="J496" s="111" t="s">
        <v>26</v>
      </c>
      <c r="K496" s="111" t="s">
        <v>171</v>
      </c>
      <c r="L496" s="111" t="s">
        <v>278</v>
      </c>
      <c r="M496" s="111"/>
      <c r="N496" s="111"/>
    </row>
    <row r="497" spans="1:14" x14ac:dyDescent="0.25">
      <c r="A497" s="111" t="s">
        <v>272</v>
      </c>
      <c r="B497" s="111" t="s">
        <v>254</v>
      </c>
      <c r="C497" s="111" t="s">
        <v>23</v>
      </c>
      <c r="D497" s="111" t="str">
        <f>_xlfn.CONCAT(Tableau3[[#This Row],[N.Star]]," ",Tableau3[[#This Row],[Const.]])</f>
        <v>SV Vul</v>
      </c>
      <c r="E497" s="112">
        <v>55048.4</v>
      </c>
      <c r="F497" s="112">
        <f>Tableau3[[#This Row],[ToM(+2400000)]]+2400000</f>
        <v>2455048.4</v>
      </c>
      <c r="G497" s="113">
        <v>0</v>
      </c>
      <c r="H497" s="114" t="s">
        <v>24</v>
      </c>
      <c r="I497" s="114" t="s">
        <v>305</v>
      </c>
      <c r="J497" s="111" t="s">
        <v>26</v>
      </c>
      <c r="K497" s="111" t="s">
        <v>171</v>
      </c>
      <c r="L497" s="111" t="s">
        <v>278</v>
      </c>
      <c r="M497" s="111"/>
      <c r="N497" s="111"/>
    </row>
    <row r="498" spans="1:14" x14ac:dyDescent="0.25">
      <c r="A498" s="111" t="s">
        <v>272</v>
      </c>
      <c r="B498" s="111" t="s">
        <v>254</v>
      </c>
      <c r="C498" s="111" t="s">
        <v>23</v>
      </c>
      <c r="D498" s="111" t="str">
        <f>_xlfn.CONCAT(Tableau3[[#This Row],[N.Star]]," ",Tableau3[[#This Row],[Const.]])</f>
        <v>SV Vul</v>
      </c>
      <c r="E498" s="112">
        <v>55093.5</v>
      </c>
      <c r="F498" s="112">
        <f>Tableau3[[#This Row],[ToM(+2400000)]]+2400000</f>
        <v>2455093.5</v>
      </c>
      <c r="G498" s="113">
        <v>0</v>
      </c>
      <c r="H498" s="114" t="s">
        <v>24</v>
      </c>
      <c r="I498" s="114" t="s">
        <v>305</v>
      </c>
      <c r="J498" s="111" t="s">
        <v>26</v>
      </c>
      <c r="K498" s="111" t="s">
        <v>171</v>
      </c>
      <c r="L498" s="111" t="s">
        <v>278</v>
      </c>
      <c r="M498" s="111"/>
      <c r="N498" s="111"/>
    </row>
    <row r="499" spans="1:14" x14ac:dyDescent="0.25">
      <c r="A499" s="111" t="s">
        <v>272</v>
      </c>
      <c r="B499" s="111" t="s">
        <v>254</v>
      </c>
      <c r="C499" s="111" t="s">
        <v>23</v>
      </c>
      <c r="D499" s="111" t="str">
        <f>_xlfn.CONCAT(Tableau3[[#This Row],[N.Star]]," ",Tableau3[[#This Row],[Const.]])</f>
        <v>SV Vul</v>
      </c>
      <c r="E499" s="112">
        <v>55407</v>
      </c>
      <c r="F499" s="112">
        <f>Tableau3[[#This Row],[ToM(+2400000)]]+2400000</f>
        <v>2455407</v>
      </c>
      <c r="G499" s="113">
        <v>0</v>
      </c>
      <c r="H499" s="114" t="s">
        <v>24</v>
      </c>
      <c r="I499" s="114" t="s">
        <v>306</v>
      </c>
      <c r="J499" s="111" t="s">
        <v>26</v>
      </c>
      <c r="K499" s="111" t="s">
        <v>171</v>
      </c>
      <c r="L499" s="111" t="s">
        <v>278</v>
      </c>
      <c r="M499" s="111"/>
      <c r="N499" s="111"/>
    </row>
    <row r="500" spans="1:14" x14ac:dyDescent="0.25">
      <c r="A500" s="111" t="s">
        <v>272</v>
      </c>
      <c r="B500" s="111" t="s">
        <v>254</v>
      </c>
      <c r="C500" s="111" t="s">
        <v>23</v>
      </c>
      <c r="D500" s="111" t="str">
        <f>_xlfn.CONCAT(Tableau3[[#This Row],[N.Star]]," ",Tableau3[[#This Row],[Const.]])</f>
        <v>SV Vul</v>
      </c>
      <c r="E500" s="112">
        <v>55452.39</v>
      </c>
      <c r="F500" s="112">
        <f>Tableau3[[#This Row],[ToM(+2400000)]]+2400000</f>
        <v>2455452.39</v>
      </c>
      <c r="G500" s="113">
        <v>0</v>
      </c>
      <c r="H500" s="114" t="s">
        <v>24</v>
      </c>
      <c r="I500" s="114" t="s">
        <v>307</v>
      </c>
      <c r="J500" s="111" t="s">
        <v>26</v>
      </c>
      <c r="K500" s="111" t="s">
        <v>171</v>
      </c>
      <c r="L500" s="111" t="s">
        <v>278</v>
      </c>
      <c r="M500" s="111"/>
      <c r="N500" s="111"/>
    </row>
    <row r="501" spans="1:14" x14ac:dyDescent="0.25">
      <c r="A501" s="111" t="s">
        <v>272</v>
      </c>
      <c r="B501" s="111" t="s">
        <v>254</v>
      </c>
      <c r="C501" s="111" t="s">
        <v>23</v>
      </c>
      <c r="D501" s="111" t="str">
        <f>_xlfn.CONCAT(Tableau3[[#This Row],[N.Star]]," ",Tableau3[[#This Row],[Const.]])</f>
        <v>SV Vul</v>
      </c>
      <c r="E501" s="112">
        <v>55857.36</v>
      </c>
      <c r="F501" s="112">
        <f>Tableau3[[#This Row],[ToM(+2400000)]]+2400000</f>
        <v>2455857.36</v>
      </c>
      <c r="G501" s="113">
        <v>0</v>
      </c>
      <c r="H501" s="114" t="s">
        <v>24</v>
      </c>
      <c r="I501" s="114" t="s">
        <v>308</v>
      </c>
      <c r="J501" s="111" t="s">
        <v>26</v>
      </c>
      <c r="K501" s="111" t="s">
        <v>171</v>
      </c>
      <c r="L501" s="111" t="s">
        <v>278</v>
      </c>
      <c r="M501" s="111"/>
      <c r="N501" s="111"/>
    </row>
    <row r="502" spans="1:14" x14ac:dyDescent="0.25">
      <c r="A502" s="111" t="s">
        <v>272</v>
      </c>
      <c r="B502" s="111" t="s">
        <v>254</v>
      </c>
      <c r="C502" s="111" t="s">
        <v>23</v>
      </c>
      <c r="D502" s="111" t="str">
        <f>_xlfn.CONCAT(Tableau3[[#This Row],[N.Star]]," ",Tableau3[[#This Row],[Const.]])</f>
        <v>SV Vul</v>
      </c>
      <c r="E502" s="112">
        <v>59134.400000000001</v>
      </c>
      <c r="F502" s="112">
        <f>Tableau3[[#This Row],[ToM(+2400000)]]+2400000</f>
        <v>2459134.4</v>
      </c>
      <c r="G502" s="113">
        <v>1.5</v>
      </c>
      <c r="H502" s="114" t="s">
        <v>24</v>
      </c>
      <c r="I502" s="114" t="s">
        <v>309</v>
      </c>
      <c r="J502" s="111" t="s">
        <v>26</v>
      </c>
      <c r="K502" s="111" t="s">
        <v>171</v>
      </c>
      <c r="L502" s="111" t="s">
        <v>278</v>
      </c>
      <c r="M502" s="111"/>
      <c r="N502" s="111"/>
    </row>
    <row r="503" spans="1:14" x14ac:dyDescent="0.25">
      <c r="A503" s="111" t="s">
        <v>272</v>
      </c>
      <c r="B503" s="111" t="s">
        <v>254</v>
      </c>
      <c r="C503" s="111" t="s">
        <v>23</v>
      </c>
      <c r="D503" s="111" t="str">
        <f>_xlfn.CONCAT(Tableau3[[#This Row],[N.Star]]," ",Tableau3[[#This Row],[Const.]])</f>
        <v>SV Vul</v>
      </c>
      <c r="E503" s="112">
        <v>59180.5</v>
      </c>
      <c r="F503" s="112">
        <f>Tableau3[[#This Row],[ToM(+2400000)]]+2400000</f>
        <v>2459180.5</v>
      </c>
      <c r="G503" s="113">
        <v>0</v>
      </c>
      <c r="H503" s="114" t="s">
        <v>24</v>
      </c>
      <c r="I503" s="114" t="s">
        <v>309</v>
      </c>
      <c r="J503" s="111" t="s">
        <v>26</v>
      </c>
      <c r="K503" s="111" t="s">
        <v>171</v>
      </c>
      <c r="L503" s="111" t="s">
        <v>278</v>
      </c>
      <c r="M503" s="111"/>
      <c r="N503" s="111"/>
    </row>
    <row r="504" spans="1:14" x14ac:dyDescent="0.25">
      <c r="A504" s="111" t="s">
        <v>272</v>
      </c>
      <c r="B504" s="111" t="s">
        <v>254</v>
      </c>
      <c r="C504" s="111" t="s">
        <v>23</v>
      </c>
      <c r="D504" s="111" t="str">
        <f>_xlfn.CONCAT(Tableau3[[#This Row],[N.Star]]," ",Tableau3[[#This Row],[Const.]])</f>
        <v>SV Vul</v>
      </c>
      <c r="E504" s="112">
        <v>59312.6</v>
      </c>
      <c r="F504" s="112">
        <f>Tableau3[[#This Row],[ToM(+2400000)]]+2400000</f>
        <v>2459312.6</v>
      </c>
      <c r="G504" s="113">
        <v>0</v>
      </c>
      <c r="H504" s="114" t="s">
        <v>24</v>
      </c>
      <c r="I504" s="114" t="s">
        <v>310</v>
      </c>
      <c r="J504" s="111" t="s">
        <v>26</v>
      </c>
      <c r="K504" s="111" t="s">
        <v>171</v>
      </c>
      <c r="L504" s="111" t="s">
        <v>278</v>
      </c>
      <c r="M504" s="111"/>
      <c r="N504" s="111"/>
    </row>
    <row r="505" spans="1:14" x14ac:dyDescent="0.25">
      <c r="A505" s="111" t="s">
        <v>272</v>
      </c>
      <c r="B505" s="111" t="s">
        <v>254</v>
      </c>
      <c r="C505" s="111" t="s">
        <v>23</v>
      </c>
      <c r="D505" s="111" t="str">
        <f>_xlfn.CONCAT(Tableau3[[#This Row],[N.Star]]," ",Tableau3[[#This Row],[Const.]])</f>
        <v>SV Vul</v>
      </c>
      <c r="E505" s="112">
        <v>59403.4</v>
      </c>
      <c r="F505" s="112">
        <f>Tableau3[[#This Row],[ToM(+2400000)]]+2400000</f>
        <v>2459403.4</v>
      </c>
      <c r="G505" s="113">
        <v>0</v>
      </c>
      <c r="H505" s="114" t="s">
        <v>24</v>
      </c>
      <c r="I505" s="114" t="s">
        <v>310</v>
      </c>
      <c r="J505" s="111" t="s">
        <v>26</v>
      </c>
      <c r="K505" s="111" t="s">
        <v>171</v>
      </c>
      <c r="L505" s="111" t="s">
        <v>278</v>
      </c>
      <c r="M505" s="111"/>
      <c r="N505" s="111"/>
    </row>
    <row r="506" spans="1:14" x14ac:dyDescent="0.25">
      <c r="A506" s="111" t="s">
        <v>272</v>
      </c>
      <c r="B506" s="111" t="s">
        <v>254</v>
      </c>
      <c r="C506" s="111" t="s">
        <v>23</v>
      </c>
      <c r="D506" s="111" t="str">
        <f>_xlfn.CONCAT(Tableau3[[#This Row],[N.Star]]," ",Tableau3[[#This Row],[Const.]])</f>
        <v>SV Vul</v>
      </c>
      <c r="E506" s="112">
        <v>59447</v>
      </c>
      <c r="F506" s="112">
        <f>Tableau3[[#This Row],[ToM(+2400000)]]+2400000</f>
        <v>2459447</v>
      </c>
      <c r="G506" s="113">
        <v>0</v>
      </c>
      <c r="H506" s="114" t="s">
        <v>24</v>
      </c>
      <c r="I506" s="114" t="s">
        <v>310</v>
      </c>
      <c r="J506" s="111" t="s">
        <v>26</v>
      </c>
      <c r="K506" s="111" t="s">
        <v>171</v>
      </c>
      <c r="L506" s="111" t="s">
        <v>278</v>
      </c>
      <c r="M506" s="111"/>
      <c r="N506" s="111"/>
    </row>
    <row r="507" spans="1:14" x14ac:dyDescent="0.25">
      <c r="A507" s="111" t="s">
        <v>272</v>
      </c>
      <c r="B507" s="111" t="s">
        <v>254</v>
      </c>
      <c r="C507" s="111" t="s">
        <v>23</v>
      </c>
      <c r="D507" s="111" t="str">
        <f>_xlfn.CONCAT(Tableau3[[#This Row],[N.Star]]," ",Tableau3[[#This Row],[Const.]])</f>
        <v>SV Vul</v>
      </c>
      <c r="E507" s="112">
        <v>59448</v>
      </c>
      <c r="F507" s="112">
        <f>Tableau3[[#This Row],[ToM(+2400000)]]+2400000</f>
        <v>2459448</v>
      </c>
      <c r="G507" s="113">
        <v>1</v>
      </c>
      <c r="H507" s="114" t="s">
        <v>24</v>
      </c>
      <c r="I507" s="114" t="s">
        <v>310</v>
      </c>
      <c r="J507" s="111" t="s">
        <v>26</v>
      </c>
      <c r="K507" s="111" t="s">
        <v>171</v>
      </c>
      <c r="L507" s="111" t="s">
        <v>278</v>
      </c>
      <c r="M507" s="111"/>
      <c r="N507" s="111"/>
    </row>
    <row r="508" spans="1:14" x14ac:dyDescent="0.25">
      <c r="A508" s="111" t="s">
        <v>272</v>
      </c>
      <c r="B508" s="111" t="s">
        <v>254</v>
      </c>
      <c r="C508" s="111" t="s">
        <v>23</v>
      </c>
      <c r="D508" s="111" t="str">
        <f>_xlfn.CONCAT(Tableau3[[#This Row],[N.Star]]," ",Tableau3[[#This Row],[Const.]])</f>
        <v>SV Vul</v>
      </c>
      <c r="E508" s="112">
        <v>59493.34</v>
      </c>
      <c r="F508" s="112">
        <f>Tableau3[[#This Row],[ToM(+2400000)]]+2400000</f>
        <v>2459493.34</v>
      </c>
      <c r="G508" s="113">
        <v>0</v>
      </c>
      <c r="H508" s="114" t="s">
        <v>24</v>
      </c>
      <c r="I508" s="114" t="s">
        <v>310</v>
      </c>
      <c r="J508" s="111" t="s">
        <v>26</v>
      </c>
      <c r="K508" s="111" t="s">
        <v>171</v>
      </c>
      <c r="L508" s="111" t="s">
        <v>278</v>
      </c>
      <c r="M508" s="111"/>
      <c r="N508" s="111"/>
    </row>
    <row r="509" spans="1:14" x14ac:dyDescent="0.25">
      <c r="A509" s="111" t="s">
        <v>272</v>
      </c>
      <c r="B509" s="111" t="s">
        <v>254</v>
      </c>
      <c r="C509" s="111" t="s">
        <v>23</v>
      </c>
      <c r="D509" s="111" t="str">
        <f>_xlfn.CONCAT(Tableau3[[#This Row],[N.Star]]," ",Tableau3[[#This Row],[Const.]])</f>
        <v>SV Vul</v>
      </c>
      <c r="E509" s="112">
        <v>59539.5</v>
      </c>
      <c r="F509" s="112">
        <f>Tableau3[[#This Row],[ToM(+2400000)]]+2400000</f>
        <v>2459539.5</v>
      </c>
      <c r="G509" s="113">
        <v>0</v>
      </c>
      <c r="H509" s="114" t="s">
        <v>24</v>
      </c>
      <c r="I509" s="114" t="s">
        <v>311</v>
      </c>
      <c r="J509" s="111" t="s">
        <v>26</v>
      </c>
      <c r="K509" s="111" t="s">
        <v>171</v>
      </c>
      <c r="L509" s="111" t="s">
        <v>278</v>
      </c>
      <c r="M509" s="111"/>
      <c r="N509" s="111"/>
    </row>
    <row r="510" spans="1:14" x14ac:dyDescent="0.25">
      <c r="A510" s="111" t="s">
        <v>272</v>
      </c>
      <c r="B510" s="111" t="s">
        <v>254</v>
      </c>
      <c r="C510" s="111" t="s">
        <v>23</v>
      </c>
      <c r="D510" s="111" t="str">
        <f>_xlfn.CONCAT(Tableau3[[#This Row],[N.Star]]," ",Tableau3[[#This Row],[Const.]])</f>
        <v>SV Vul</v>
      </c>
      <c r="E510" s="112">
        <v>59541.34</v>
      </c>
      <c r="F510" s="112">
        <f>Tableau3[[#This Row],[ToM(+2400000)]]+2400000</f>
        <v>2459541.34</v>
      </c>
      <c r="G510" s="113">
        <v>0</v>
      </c>
      <c r="H510" s="114" t="s">
        <v>24</v>
      </c>
      <c r="I510" s="114" t="s">
        <v>311</v>
      </c>
      <c r="J510" s="111" t="s">
        <v>26</v>
      </c>
      <c r="K510" s="111" t="s">
        <v>171</v>
      </c>
      <c r="L510" s="111" t="s">
        <v>278</v>
      </c>
      <c r="M510" s="111"/>
      <c r="N510" s="111"/>
    </row>
    <row r="511" spans="1:14" x14ac:dyDescent="0.25">
      <c r="A511" s="111" t="s">
        <v>272</v>
      </c>
      <c r="B511" s="111" t="s">
        <v>254</v>
      </c>
      <c r="C511" s="111" t="s">
        <v>23</v>
      </c>
      <c r="D511" s="111" t="str">
        <f>_xlfn.CONCAT(Tableau3[[#This Row],[N.Star]]," ",Tableau3[[#This Row],[Const.]])</f>
        <v>SV Vul</v>
      </c>
      <c r="E511" s="112">
        <v>59673.64</v>
      </c>
      <c r="F511" s="112">
        <f>Tableau3[[#This Row],[ToM(+2400000)]]+2400000</f>
        <v>2459673.64</v>
      </c>
      <c r="G511" s="113">
        <v>0</v>
      </c>
      <c r="H511" s="114" t="s">
        <v>24</v>
      </c>
      <c r="I511" s="114" t="s">
        <v>312</v>
      </c>
      <c r="J511" s="111" t="s">
        <v>26</v>
      </c>
      <c r="K511" s="111" t="s">
        <v>171</v>
      </c>
      <c r="L511" s="111" t="s">
        <v>278</v>
      </c>
      <c r="M511" s="111"/>
      <c r="N511" s="111"/>
    </row>
    <row r="512" spans="1:14" x14ac:dyDescent="0.25">
      <c r="A512" s="111" t="s">
        <v>272</v>
      </c>
      <c r="B512" s="111" t="s">
        <v>254</v>
      </c>
      <c r="C512" s="111" t="s">
        <v>23</v>
      </c>
      <c r="D512" s="111" t="str">
        <f>_xlfn.CONCAT(Tableau3[[#This Row],[N.Star]]," ",Tableau3[[#This Row],[Const.]])</f>
        <v>SV Vul</v>
      </c>
      <c r="E512" s="112">
        <v>59674.47</v>
      </c>
      <c r="F512" s="112">
        <f>Tableau3[[#This Row],[ToM(+2400000)]]+2400000</f>
        <v>2459674.4700000002</v>
      </c>
      <c r="G512" s="113">
        <v>0.9</v>
      </c>
      <c r="H512" s="114" t="s">
        <v>24</v>
      </c>
      <c r="I512" s="114" t="s">
        <v>312</v>
      </c>
      <c r="J512" s="111" t="s">
        <v>26</v>
      </c>
      <c r="K512" s="111" t="s">
        <v>171</v>
      </c>
      <c r="L512" s="111" t="s">
        <v>278</v>
      </c>
      <c r="M512" s="111"/>
      <c r="N512" s="111"/>
    </row>
    <row r="513" spans="1:14" x14ac:dyDescent="0.25">
      <c r="A513" s="111" t="s">
        <v>272</v>
      </c>
      <c r="B513" s="111" t="s">
        <v>254</v>
      </c>
      <c r="C513" s="111" t="s">
        <v>23</v>
      </c>
      <c r="D513" s="111" t="str">
        <f>_xlfn.CONCAT(Tableau3[[#This Row],[N.Star]]," ",Tableau3[[#This Row],[Const.]])</f>
        <v>SV Vul</v>
      </c>
      <c r="E513" s="112">
        <v>59717.086000000003</v>
      </c>
      <c r="F513" s="112">
        <f>Tableau3[[#This Row],[ToM(+2400000)]]+2400000</f>
        <v>2459717.0860000001</v>
      </c>
      <c r="G513" s="113">
        <v>0.78</v>
      </c>
      <c r="H513" s="114" t="s">
        <v>24</v>
      </c>
      <c r="I513" s="114" t="s">
        <v>312</v>
      </c>
      <c r="J513" s="111" t="s">
        <v>26</v>
      </c>
      <c r="K513" s="111" t="s">
        <v>171</v>
      </c>
      <c r="L513" s="111" t="s">
        <v>278</v>
      </c>
      <c r="M513" s="111"/>
      <c r="N513" s="111"/>
    </row>
    <row r="514" spans="1:14" x14ac:dyDescent="0.25">
      <c r="A514" s="111" t="s">
        <v>272</v>
      </c>
      <c r="B514" s="111" t="s">
        <v>254</v>
      </c>
      <c r="C514" s="111" t="s">
        <v>23</v>
      </c>
      <c r="D514" s="111" t="str">
        <f>_xlfn.CONCAT(Tableau3[[#This Row],[N.Star]]," ",Tableau3[[#This Row],[Const.]])</f>
        <v>SV Vul</v>
      </c>
      <c r="E514" s="112">
        <v>59717.4</v>
      </c>
      <c r="F514" s="112">
        <f>Tableau3[[#This Row],[ToM(+2400000)]]+2400000</f>
        <v>2459717.4</v>
      </c>
      <c r="G514" s="113">
        <v>1</v>
      </c>
      <c r="H514" s="114" t="s">
        <v>24</v>
      </c>
      <c r="I514" s="114" t="s">
        <v>312</v>
      </c>
      <c r="J514" s="111" t="s">
        <v>26</v>
      </c>
      <c r="K514" s="111" t="s">
        <v>171</v>
      </c>
      <c r="L514" s="111" t="s">
        <v>278</v>
      </c>
      <c r="M514" s="111"/>
      <c r="N514" s="111"/>
    </row>
    <row r="515" spans="1:14" x14ac:dyDescent="0.25">
      <c r="A515" s="111" t="s">
        <v>272</v>
      </c>
      <c r="B515" s="111" t="s">
        <v>254</v>
      </c>
      <c r="C515" s="111" t="s">
        <v>23</v>
      </c>
      <c r="D515" s="111" t="str">
        <f>_xlfn.CONCAT(Tableau3[[#This Row],[N.Star]]," ",Tableau3[[#This Row],[Const.]])</f>
        <v>SV Vul</v>
      </c>
      <c r="E515" s="112">
        <v>59763.94</v>
      </c>
      <c r="F515" s="112">
        <f>Tableau3[[#This Row],[ToM(+2400000)]]+2400000</f>
        <v>2459763.94</v>
      </c>
      <c r="G515" s="113">
        <v>0.8</v>
      </c>
      <c r="H515" s="114" t="s">
        <v>24</v>
      </c>
      <c r="I515" s="114" t="s">
        <v>312</v>
      </c>
      <c r="J515" s="111" t="s">
        <v>26</v>
      </c>
      <c r="K515" s="111" t="s">
        <v>171</v>
      </c>
      <c r="L515" s="111" t="s">
        <v>278</v>
      </c>
      <c r="M515" s="111"/>
      <c r="N515" s="111"/>
    </row>
    <row r="516" spans="1:14" s="73" customFormat="1" x14ac:dyDescent="0.25">
      <c r="A516" s="111" t="s">
        <v>272</v>
      </c>
      <c r="B516" s="111" t="s">
        <v>254</v>
      </c>
      <c r="C516" s="111" t="s">
        <v>23</v>
      </c>
      <c r="D516" s="111" t="str">
        <f>_xlfn.CONCAT(Tableau3[[#This Row],[N.Star]]," ",Tableau3[[#This Row],[Const.]])</f>
        <v>SV Vul</v>
      </c>
      <c r="E516" s="112">
        <v>59765</v>
      </c>
      <c r="F516" s="112">
        <f>Tableau3[[#This Row],[ToM(+2400000)]]+2400000</f>
        <v>2459765</v>
      </c>
      <c r="G516" s="113">
        <v>1</v>
      </c>
      <c r="H516" s="114" t="s">
        <v>24</v>
      </c>
      <c r="I516" s="111" t="s">
        <v>56</v>
      </c>
      <c r="J516" s="111" t="s">
        <v>26</v>
      </c>
      <c r="K516" s="111" t="s">
        <v>27</v>
      </c>
      <c r="L516" s="111" t="s">
        <v>27</v>
      </c>
      <c r="M516" s="111"/>
      <c r="N516" s="111" t="s">
        <v>672</v>
      </c>
    </row>
    <row r="517" spans="1:14" x14ac:dyDescent="0.25">
      <c r="A517" s="111" t="s">
        <v>272</v>
      </c>
      <c r="B517" s="111" t="s">
        <v>254</v>
      </c>
      <c r="C517" s="111" t="s">
        <v>23</v>
      </c>
      <c r="D517" s="111" t="str">
        <f>_xlfn.CONCAT(Tableau3[[#This Row],[N.Star]]," ",Tableau3[[#This Row],[Const.]])</f>
        <v>SV Vul</v>
      </c>
      <c r="E517" s="112">
        <v>59795.67</v>
      </c>
      <c r="F517" s="112">
        <f>Tableau3[[#This Row],[ToM(+2400000)]]+2400000</f>
        <v>2459795.67</v>
      </c>
      <c r="G517" s="113">
        <v>0.5</v>
      </c>
      <c r="H517" s="114" t="s">
        <v>24</v>
      </c>
      <c r="I517" s="111" t="s">
        <v>56</v>
      </c>
      <c r="J517" s="111" t="s">
        <v>26</v>
      </c>
      <c r="K517" s="111" t="s">
        <v>27</v>
      </c>
      <c r="L517" s="111" t="s">
        <v>27</v>
      </c>
      <c r="M517" s="111"/>
      <c r="N517" s="111" t="s">
        <v>673</v>
      </c>
    </row>
    <row r="518" spans="1:14" x14ac:dyDescent="0.25">
      <c r="A518" s="111" t="s">
        <v>272</v>
      </c>
      <c r="B518" s="111" t="s">
        <v>254</v>
      </c>
      <c r="C518" s="111" t="s">
        <v>23</v>
      </c>
      <c r="D518" s="111" t="str">
        <f>_xlfn.CONCAT(Tableau3[[#This Row],[N.Star]]," ",Tableau3[[#This Row],[Const.]])</f>
        <v>SV Vul</v>
      </c>
      <c r="E518" s="112">
        <v>59809.58</v>
      </c>
      <c r="F518" s="112">
        <f>Tableau3[[#This Row],[ToM(+2400000)]]+2400000</f>
        <v>2459809.58</v>
      </c>
      <c r="G518" s="113">
        <v>0.59</v>
      </c>
      <c r="H518" s="114" t="s">
        <v>24</v>
      </c>
      <c r="I518" s="114" t="s">
        <v>312</v>
      </c>
      <c r="J518" s="111" t="s">
        <v>26</v>
      </c>
      <c r="K518" s="111" t="s">
        <v>171</v>
      </c>
      <c r="L518" s="111" t="s">
        <v>278</v>
      </c>
      <c r="M518" s="111"/>
      <c r="N518" s="111"/>
    </row>
    <row r="519" spans="1:14" x14ac:dyDescent="0.25">
      <c r="A519" s="111" t="s">
        <v>272</v>
      </c>
      <c r="B519" s="111" t="s">
        <v>254</v>
      </c>
      <c r="C519" s="111" t="s">
        <v>23</v>
      </c>
      <c r="D519" s="111" t="str">
        <f>_xlfn.CONCAT(Tableau3[[#This Row],[N.Star]]," ",Tableau3[[#This Row],[Const.]])</f>
        <v>SV Vul</v>
      </c>
      <c r="E519" s="112">
        <v>59854.89</v>
      </c>
      <c r="F519" s="112">
        <f>Tableau3[[#This Row],[ToM(+2400000)]]+2400000</f>
        <v>2459854.89</v>
      </c>
      <c r="G519" s="113">
        <v>0.65</v>
      </c>
      <c r="H519" s="114" t="s">
        <v>24</v>
      </c>
      <c r="I519" s="114" t="s">
        <v>312</v>
      </c>
      <c r="J519" s="111" t="s">
        <v>26</v>
      </c>
      <c r="K519" s="111" t="s">
        <v>171</v>
      </c>
      <c r="L519" s="111" t="s">
        <v>278</v>
      </c>
      <c r="M519" s="111"/>
      <c r="N519" s="111"/>
    </row>
    <row r="520" spans="1:14" x14ac:dyDescent="0.25">
      <c r="A520" s="111" t="s">
        <v>272</v>
      </c>
      <c r="B520" s="111" t="s">
        <v>254</v>
      </c>
      <c r="C520" s="111" t="s">
        <v>23</v>
      </c>
      <c r="D520" s="111" t="str">
        <f>_xlfn.CONCAT(Tableau3[[#This Row],[N.Star]]," ",Tableau3[[#This Row],[Const.]])</f>
        <v>SV Vul</v>
      </c>
      <c r="E520" s="112">
        <v>59899.63</v>
      </c>
      <c r="F520" s="112">
        <f>Tableau3[[#This Row],[ToM(+2400000)]]+2400000</f>
        <v>2459899.63</v>
      </c>
      <c r="G520" s="113">
        <v>0.62</v>
      </c>
      <c r="H520" s="114" t="s">
        <v>24</v>
      </c>
      <c r="I520" s="114" t="s">
        <v>312</v>
      </c>
      <c r="J520" s="111" t="s">
        <v>26</v>
      </c>
      <c r="K520" s="111" t="s">
        <v>171</v>
      </c>
      <c r="L520" s="111" t="s">
        <v>278</v>
      </c>
      <c r="M520" s="111"/>
      <c r="N520" s="111"/>
    </row>
    <row r="521" spans="1:14" x14ac:dyDescent="0.25">
      <c r="A521" s="111" t="s">
        <v>272</v>
      </c>
      <c r="B521" s="111" t="s">
        <v>254</v>
      </c>
      <c r="C521" s="111" t="s">
        <v>23</v>
      </c>
      <c r="D521" s="111" t="str">
        <f>_xlfn.CONCAT(Tableau3[[#This Row],[N.Star]]," ",Tableau3[[#This Row],[Const.]])</f>
        <v>SV Vul</v>
      </c>
      <c r="E521" s="112">
        <v>60125.279999999999</v>
      </c>
      <c r="F521" s="112">
        <f>Tableau3[[#This Row],[ToM(+2400000)]]+2400000</f>
        <v>2460125.2799999998</v>
      </c>
      <c r="G521" s="113">
        <v>0.8</v>
      </c>
      <c r="H521" s="114" t="s">
        <v>24</v>
      </c>
      <c r="I521" s="111" t="s">
        <v>56</v>
      </c>
      <c r="J521" s="111" t="s">
        <v>26</v>
      </c>
      <c r="K521" s="111" t="s">
        <v>27</v>
      </c>
      <c r="L521" s="111" t="s">
        <v>27</v>
      </c>
      <c r="M521" s="111"/>
      <c r="N521" s="111" t="s">
        <v>674</v>
      </c>
    </row>
    <row r="522" spans="1:14" x14ac:dyDescent="0.25">
      <c r="A522" s="111" t="s">
        <v>272</v>
      </c>
      <c r="B522" s="111" t="s">
        <v>254</v>
      </c>
      <c r="C522" s="111" t="s">
        <v>23</v>
      </c>
      <c r="D522" s="111" t="str">
        <f>_xlfn.CONCAT(Tableau3[[#This Row],[N.Star]]," ",Tableau3[[#This Row],[Const.]])</f>
        <v>SV Vul</v>
      </c>
      <c r="E522" s="112">
        <v>60484.3</v>
      </c>
      <c r="F522" s="112">
        <f>Tableau3[[#This Row],[ToM(+2400000)]]+2400000</f>
        <v>2460484.2999999998</v>
      </c>
      <c r="G522" s="113">
        <v>0.9</v>
      </c>
      <c r="H522" s="114" t="s">
        <v>24</v>
      </c>
      <c r="I522" s="111" t="s">
        <v>122</v>
      </c>
      <c r="J522" s="111" t="s">
        <v>26</v>
      </c>
      <c r="K522" s="111" t="s">
        <v>27</v>
      </c>
      <c r="L522" s="111" t="s">
        <v>27</v>
      </c>
      <c r="M522" s="111"/>
      <c r="N522" s="111"/>
    </row>
    <row r="523" spans="1:14" x14ac:dyDescent="0.25">
      <c r="A523" s="111" t="s">
        <v>272</v>
      </c>
      <c r="B523" s="111" t="s">
        <v>254</v>
      </c>
      <c r="C523" s="111" t="s">
        <v>23</v>
      </c>
      <c r="D523" s="111" t="str">
        <f>_xlfn.CONCAT(Tableau3[[#This Row],[N.Star]]," ",Tableau3[[#This Row],[Const.]])</f>
        <v>SV Vul</v>
      </c>
      <c r="E523" s="112">
        <v>60573.8</v>
      </c>
      <c r="F523" s="112">
        <f>Tableau3[[#This Row],[ToM(+2400000)]]+2400000</f>
        <v>2460573.7999999998</v>
      </c>
      <c r="G523" s="113">
        <v>0.9</v>
      </c>
      <c r="H523" s="114" t="s">
        <v>24</v>
      </c>
      <c r="I523" s="111" t="s">
        <v>122</v>
      </c>
      <c r="J523" s="111" t="s">
        <v>26</v>
      </c>
      <c r="K523" s="111" t="s">
        <v>27</v>
      </c>
      <c r="L523" s="111" t="s">
        <v>27</v>
      </c>
      <c r="M523" s="111"/>
      <c r="N523" s="111"/>
    </row>
    <row r="524" spans="1:14" x14ac:dyDescent="0.25">
      <c r="A524" t="s">
        <v>272</v>
      </c>
      <c r="B524" t="s">
        <v>239</v>
      </c>
      <c r="C524" t="s">
        <v>23</v>
      </c>
      <c r="D524" t="str">
        <f>_xlfn.CONCAT(Tableau3[[#This Row],[N.Star]]," ",Tableau3[[#This Row],[Const.]])</f>
        <v>T Vul</v>
      </c>
      <c r="E524" s="8">
        <v>42960.703999999998</v>
      </c>
      <c r="F524" s="8">
        <f>Tableau3[[#This Row],[ToM(+2400000)]]+2400000</f>
        <v>2442960.7039999999</v>
      </c>
      <c r="G524" s="34">
        <v>0.15</v>
      </c>
      <c r="H524" s="3" t="s">
        <v>24</v>
      </c>
      <c r="I524" t="s">
        <v>55</v>
      </c>
      <c r="J524" t="s">
        <v>26</v>
      </c>
      <c r="K524" t="s">
        <v>52</v>
      </c>
      <c r="L524" t="s">
        <v>238</v>
      </c>
    </row>
    <row r="525" spans="1:14" x14ac:dyDescent="0.25">
      <c r="A525" t="s">
        <v>272</v>
      </c>
      <c r="B525" t="s">
        <v>239</v>
      </c>
      <c r="C525" t="s">
        <v>23</v>
      </c>
      <c r="D525" t="str">
        <f>_xlfn.CONCAT(Tableau3[[#This Row],[N.Star]]," ",Tableau3[[#This Row],[Const.]])</f>
        <v>T Vul</v>
      </c>
      <c r="E525" s="8">
        <v>43009.451000000001</v>
      </c>
      <c r="F525" s="8">
        <f>Tableau3[[#This Row],[ToM(+2400000)]]+2400000</f>
        <v>2443009.4509999999</v>
      </c>
      <c r="G525" s="34">
        <v>0.15</v>
      </c>
      <c r="H525" s="3" t="s">
        <v>24</v>
      </c>
      <c r="I525" t="s">
        <v>47</v>
      </c>
      <c r="J525" t="s">
        <v>26</v>
      </c>
      <c r="K525" t="s">
        <v>40</v>
      </c>
      <c r="L525" t="s">
        <v>41</v>
      </c>
    </row>
    <row r="526" spans="1:14" x14ac:dyDescent="0.25">
      <c r="A526" t="s">
        <v>272</v>
      </c>
      <c r="B526" t="s">
        <v>239</v>
      </c>
      <c r="C526" t="s">
        <v>23</v>
      </c>
      <c r="D526" t="str">
        <f>_xlfn.CONCAT(Tableau3[[#This Row],[N.Star]]," ",Tableau3[[#This Row],[Const.]])</f>
        <v>T Vul</v>
      </c>
      <c r="E526" s="8">
        <v>43084.61</v>
      </c>
      <c r="F526" s="8">
        <f>Tableau3[[#This Row],[ToM(+2400000)]]+2400000</f>
        <v>2443084.61</v>
      </c>
      <c r="G526" s="34">
        <v>0.15</v>
      </c>
      <c r="H526" s="3" t="s">
        <v>24</v>
      </c>
      <c r="I526" t="s">
        <v>70</v>
      </c>
      <c r="J526" t="s">
        <v>26</v>
      </c>
      <c r="K526" t="s">
        <v>52</v>
      </c>
      <c r="L526" t="s">
        <v>238</v>
      </c>
    </row>
    <row r="527" spans="1:14" x14ac:dyDescent="0.25">
      <c r="A527" t="s">
        <v>272</v>
      </c>
      <c r="B527" t="s">
        <v>239</v>
      </c>
      <c r="C527" t="s">
        <v>23</v>
      </c>
      <c r="D527" t="str">
        <f>_xlfn.CONCAT(Tableau3[[#This Row],[N.Star]]," ",Tableau3[[#This Row],[Const.]])</f>
        <v>T Vul</v>
      </c>
      <c r="E527" s="8">
        <v>44140.423999999999</v>
      </c>
      <c r="F527" s="8">
        <f>Tableau3[[#This Row],[ToM(+2400000)]]+2400000</f>
        <v>2444140.4240000001</v>
      </c>
      <c r="G527" s="34">
        <v>0.05</v>
      </c>
      <c r="H527" s="3" t="s">
        <v>24</v>
      </c>
      <c r="I527" t="s">
        <v>25</v>
      </c>
      <c r="J527" t="s">
        <v>26</v>
      </c>
      <c r="K527" t="s">
        <v>27</v>
      </c>
      <c r="L527" t="s">
        <v>27</v>
      </c>
      <c r="N527" t="s">
        <v>39</v>
      </c>
    </row>
    <row r="528" spans="1:14" x14ac:dyDescent="0.25">
      <c r="A528" t="s">
        <v>272</v>
      </c>
      <c r="B528" t="s">
        <v>239</v>
      </c>
      <c r="C528" t="s">
        <v>23</v>
      </c>
      <c r="D528" t="str">
        <f>_xlfn.CONCAT(Tableau3[[#This Row],[N.Star]]," ",Tableau3[[#This Row],[Const.]])</f>
        <v>T Vul</v>
      </c>
      <c r="E528" s="8">
        <v>44845.644999999997</v>
      </c>
      <c r="F528" s="8">
        <f>Tableau3[[#This Row],[ToM(+2400000)]]+2400000</f>
        <v>2444845.645</v>
      </c>
      <c r="G528" s="34">
        <v>0.1</v>
      </c>
      <c r="H528" s="3" t="s">
        <v>24</v>
      </c>
      <c r="I528" t="s">
        <v>25</v>
      </c>
      <c r="J528" t="s">
        <v>26</v>
      </c>
      <c r="K528" t="s">
        <v>27</v>
      </c>
      <c r="L528" t="s">
        <v>27</v>
      </c>
      <c r="N528" t="s">
        <v>39</v>
      </c>
    </row>
    <row r="529" spans="1:14" x14ac:dyDescent="0.25">
      <c r="A529" t="s">
        <v>272</v>
      </c>
      <c r="B529" t="s">
        <v>71</v>
      </c>
      <c r="C529" t="s">
        <v>23</v>
      </c>
      <c r="D529" t="str">
        <f>_xlfn.CONCAT(Tableau3[[#This Row],[N.Star]]," ",Tableau3[[#This Row],[Const.]])</f>
        <v>U Vul</v>
      </c>
      <c r="E529" s="8">
        <v>43141.599999999999</v>
      </c>
      <c r="F529" s="8">
        <f>Tableau3[[#This Row],[ToM(+2400000)]]+2400000</f>
        <v>2443141.6</v>
      </c>
      <c r="G529" s="34">
        <v>0.15</v>
      </c>
      <c r="H529" s="3" t="s">
        <v>24</v>
      </c>
      <c r="I529" t="s">
        <v>55</v>
      </c>
      <c r="J529" t="s">
        <v>26</v>
      </c>
      <c r="K529" t="s">
        <v>52</v>
      </c>
      <c r="L529" t="s">
        <v>238</v>
      </c>
    </row>
    <row r="530" spans="1:14" x14ac:dyDescent="0.25">
      <c r="A530" t="s">
        <v>272</v>
      </c>
      <c r="B530" t="s">
        <v>71</v>
      </c>
      <c r="C530" t="s">
        <v>23</v>
      </c>
      <c r="D530" t="str">
        <f>_xlfn.CONCAT(Tableau3[[#This Row],[N.Star]]," ",Tableau3[[#This Row],[Const.]])</f>
        <v>U Vul</v>
      </c>
      <c r="E530" s="8">
        <v>46091.11</v>
      </c>
      <c r="F530" s="8">
        <f>Tableau3[[#This Row],[ToM(+2400000)]]+2400000</f>
        <v>2446091.11</v>
      </c>
      <c r="G530" s="34">
        <v>0.4</v>
      </c>
      <c r="H530" s="3" t="s">
        <v>24</v>
      </c>
      <c r="I530" t="s">
        <v>25</v>
      </c>
      <c r="J530" t="s">
        <v>26</v>
      </c>
      <c r="K530" t="s">
        <v>27</v>
      </c>
      <c r="L530" t="s">
        <v>27</v>
      </c>
      <c r="N530" t="s">
        <v>313</v>
      </c>
    </row>
    <row r="531" spans="1:14" x14ac:dyDescent="0.25">
      <c r="A531" t="s">
        <v>272</v>
      </c>
      <c r="B531" t="s">
        <v>71</v>
      </c>
      <c r="C531" t="s">
        <v>23</v>
      </c>
      <c r="D531" t="str">
        <f>_xlfn.CONCAT(Tableau3[[#This Row],[N.Star]]," ",Tableau3[[#This Row],[Const.]])</f>
        <v>U Vul</v>
      </c>
      <c r="E531" s="8">
        <v>47440.9</v>
      </c>
      <c r="F531" s="8">
        <f>Tableau3[[#This Row],[ToM(+2400000)]]+2400000</f>
        <v>2447440.9</v>
      </c>
      <c r="G531" s="34">
        <v>0.3</v>
      </c>
      <c r="H531" s="3" t="s">
        <v>24</v>
      </c>
      <c r="I531" t="s">
        <v>116</v>
      </c>
      <c r="J531" t="s">
        <v>26</v>
      </c>
      <c r="K531" t="s">
        <v>57</v>
      </c>
      <c r="L531" t="s">
        <v>59</v>
      </c>
    </row>
  </sheetData>
  <phoneticPr fontId="5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6084-FA18-4663-8805-9AE2D52CB1F5}">
  <dimension ref="A1:U100"/>
  <sheetViews>
    <sheetView tabSelected="1" zoomScale="70" zoomScaleNormal="70" workbookViewId="0">
      <selection activeCell="R11" sqref="R11"/>
    </sheetView>
  </sheetViews>
  <sheetFormatPr baseColWidth="10" defaultColWidth="11.42578125" defaultRowHeight="15" x14ac:dyDescent="0.25"/>
  <cols>
    <col min="2" max="2" width="14.5703125" customWidth="1"/>
    <col min="3" max="3" width="14.28515625" customWidth="1"/>
    <col min="4" max="4" width="13.140625" style="14" customWidth="1"/>
    <col min="5" max="5" width="37.28515625" customWidth="1"/>
    <col min="6" max="6" width="32" customWidth="1"/>
    <col min="7" max="7" width="24" customWidth="1"/>
    <col min="8" max="8" width="23.7109375" customWidth="1"/>
    <col min="9" max="9" width="44.7109375" customWidth="1"/>
  </cols>
  <sheetData>
    <row r="1" spans="1:21" ht="21" x14ac:dyDescent="0.35">
      <c r="A1" s="30" t="s">
        <v>489</v>
      </c>
    </row>
    <row r="2" spans="1:21" x14ac:dyDescent="0.25">
      <c r="A2" t="s">
        <v>318</v>
      </c>
      <c r="B2" s="29">
        <f ca="1">NOW()</f>
        <v>45781.861341319447</v>
      </c>
      <c r="C2" s="29"/>
      <c r="E2" s="31" t="s">
        <v>490</v>
      </c>
      <c r="F2" s="10"/>
      <c r="G2" s="10"/>
      <c r="H2" s="10"/>
      <c r="I2" s="10"/>
      <c r="J2" s="10"/>
      <c r="Q2" s="15" t="s">
        <v>677</v>
      </c>
      <c r="R2" s="15"/>
      <c r="S2" s="9" t="s">
        <v>669</v>
      </c>
      <c r="T2" s="9"/>
      <c r="U2" s="9"/>
    </row>
    <row r="3" spans="1:21" x14ac:dyDescent="0.25">
      <c r="A3" t="s">
        <v>491</v>
      </c>
      <c r="E3" s="33" t="s">
        <v>492</v>
      </c>
      <c r="F3" s="32"/>
      <c r="G3" s="32"/>
      <c r="H3" s="32"/>
      <c r="I3" s="32"/>
      <c r="J3" s="32"/>
      <c r="K3" s="32"/>
      <c r="R3" s="9"/>
      <c r="S3" s="9" t="s">
        <v>666</v>
      </c>
      <c r="T3" s="9" t="s">
        <v>667</v>
      </c>
      <c r="U3" s="9"/>
    </row>
    <row r="4" spans="1:21" x14ac:dyDescent="0.25">
      <c r="R4" s="9"/>
      <c r="S4" s="9" t="s">
        <v>666</v>
      </c>
      <c r="T4" s="9" t="s">
        <v>668</v>
      </c>
      <c r="U4" s="9"/>
    </row>
    <row r="5" spans="1:21" x14ac:dyDescent="0.25">
      <c r="E5" s="15" t="s">
        <v>493</v>
      </c>
      <c r="J5" s="15" t="s">
        <v>494</v>
      </c>
      <c r="K5" s="15"/>
      <c r="L5" s="15">
        <f>STDEV(D11:D72)</f>
        <v>13.514089637125167</v>
      </c>
      <c r="M5" s="15"/>
      <c r="N5" s="15"/>
      <c r="R5" s="9"/>
      <c r="S5" s="9" t="s">
        <v>670</v>
      </c>
      <c r="T5" s="9" t="s">
        <v>671</v>
      </c>
      <c r="U5" s="9"/>
    </row>
    <row r="6" spans="1:21" x14ac:dyDescent="0.25">
      <c r="J6" s="15" t="s">
        <v>495</v>
      </c>
      <c r="K6" s="15"/>
      <c r="L6" s="15">
        <f>AVERAGE(D11:D91)</f>
        <v>8.370967741935484</v>
      </c>
      <c r="M6" s="15" t="s">
        <v>496</v>
      </c>
      <c r="N6" s="15"/>
      <c r="Q6" s="34"/>
      <c r="R6" s="9"/>
      <c r="S6" s="9" t="s">
        <v>675</v>
      </c>
      <c r="T6" s="9" t="s">
        <v>676</v>
      </c>
      <c r="U6" s="9"/>
    </row>
    <row r="7" spans="1:21" x14ac:dyDescent="0.25">
      <c r="J7" s="15" t="s">
        <v>497</v>
      </c>
      <c r="K7" s="15"/>
      <c r="L7" s="15">
        <f>COUNT(D11:D91)</f>
        <v>62</v>
      </c>
      <c r="M7" s="15"/>
      <c r="N7" s="15"/>
      <c r="Q7" s="34"/>
      <c r="S7" s="9" t="s">
        <v>684</v>
      </c>
      <c r="T7" s="9" t="s">
        <v>685</v>
      </c>
    </row>
    <row r="8" spans="1:21" x14ac:dyDescent="0.25">
      <c r="A8" s="9" t="s">
        <v>498</v>
      </c>
      <c r="D8" s="25">
        <f>COUNT(D11:D108)</f>
        <v>62</v>
      </c>
      <c r="E8" s="27" t="s">
        <v>499</v>
      </c>
      <c r="J8" s="15">
        <f>+D9</f>
        <v>519</v>
      </c>
      <c r="K8" s="15" t="s">
        <v>500</v>
      </c>
      <c r="L8" s="15"/>
      <c r="M8" s="15"/>
      <c r="N8" s="15"/>
      <c r="S8" s="9" t="s">
        <v>679</v>
      </c>
      <c r="T8" s="9" t="s">
        <v>686</v>
      </c>
    </row>
    <row r="9" spans="1:21" x14ac:dyDescent="0.25">
      <c r="D9" s="26">
        <f>SUM(D11:D72)</f>
        <v>519</v>
      </c>
      <c r="E9" s="28" t="s">
        <v>501</v>
      </c>
      <c r="J9" s="15">
        <v>69</v>
      </c>
      <c r="K9" s="15" t="s">
        <v>502</v>
      </c>
      <c r="L9" s="15"/>
      <c r="M9" s="15"/>
      <c r="N9" s="15"/>
      <c r="S9" s="9" t="s">
        <v>687</v>
      </c>
      <c r="T9" s="9" t="s">
        <v>688</v>
      </c>
    </row>
    <row r="10" spans="1:21" x14ac:dyDescent="0.25">
      <c r="A10" s="89" t="s">
        <v>503</v>
      </c>
      <c r="B10" s="89" t="s">
        <v>504</v>
      </c>
      <c r="C10" s="23" t="s">
        <v>691</v>
      </c>
      <c r="D10" s="24" t="s">
        <v>505</v>
      </c>
      <c r="E10" s="14" t="s">
        <v>690</v>
      </c>
      <c r="F10" s="14" t="s">
        <v>697</v>
      </c>
      <c r="G10" s="14" t="s">
        <v>695</v>
      </c>
      <c r="H10" s="14" t="s">
        <v>696</v>
      </c>
      <c r="I10" t="s">
        <v>761</v>
      </c>
      <c r="S10" s="9" t="s">
        <v>670</v>
      </c>
      <c r="T10" s="9" t="s">
        <v>721</v>
      </c>
    </row>
    <row r="11" spans="1:21" x14ac:dyDescent="0.25">
      <c r="A11" t="s">
        <v>506</v>
      </c>
      <c r="B11" t="s">
        <v>22</v>
      </c>
      <c r="C11" t="str" cm="1">
        <f t="array" ref="C11">_xlfn.CONCAT(Tableau4[[#This Row],[ETOILE]]," ",Tableau4[[#This Row],[CONST]])</f>
        <v>DQ AND</v>
      </c>
      <c r="D11" s="14">
        <f>COUNTIFS('ToM GEOS au fil de l''eau'!D10:D550,"DQ And")</f>
        <v>1</v>
      </c>
      <c r="I11" t="s">
        <v>724</v>
      </c>
    </row>
    <row r="12" spans="1:21" x14ac:dyDescent="0.25">
      <c r="A12" t="s">
        <v>507</v>
      </c>
      <c r="B12" t="s">
        <v>30</v>
      </c>
      <c r="C12" t="str" cm="1">
        <f t="array" ref="C12">_xlfn.CONCAT(Tableau4[[#This Row],[ETOILE]]," ",Tableau4[[#This Row],[CONST]])</f>
        <v>ETA AQL</v>
      </c>
      <c r="D12" s="14">
        <f>COUNTIF('ToM GEOS au fil de l''eau'!D10:D550,"ETA Aql")</f>
        <v>13</v>
      </c>
      <c r="I12" t="s">
        <v>725</v>
      </c>
    </row>
    <row r="13" spans="1:21" x14ac:dyDescent="0.25">
      <c r="A13" t="s">
        <v>507</v>
      </c>
      <c r="B13" t="s">
        <v>51</v>
      </c>
      <c r="C13" t="str" cm="1">
        <f t="array" ref="C13">_xlfn.CONCAT(Tableau4[[#This Row],[ETOILE]]," ",Tableau4[[#This Row],[CONST]])</f>
        <v>FF AQL</v>
      </c>
      <c r="D13" s="14">
        <f>COUNTIF('ToM GEOS au fil de l''eau'!D10:D550,"FF Aql")</f>
        <v>12</v>
      </c>
      <c r="I13" t="s">
        <v>726</v>
      </c>
    </row>
    <row r="14" spans="1:21" x14ac:dyDescent="0.25">
      <c r="A14" t="s">
        <v>507</v>
      </c>
      <c r="B14" t="s">
        <v>65</v>
      </c>
      <c r="C14" t="str" cm="1">
        <f t="array" ref="C14">_xlfn.CONCAT(Tableau4[[#This Row],[ETOILE]]," ",Tableau4[[#This Row],[CONST]])</f>
        <v>FN AQL</v>
      </c>
      <c r="D14" s="14">
        <f>COUNTIF('ToM GEOS au fil de l''eau'!D10:D550,"FN Aql")</f>
        <v>1</v>
      </c>
      <c r="I14" t="s">
        <v>727</v>
      </c>
    </row>
    <row r="15" spans="1:21" x14ac:dyDescent="0.25">
      <c r="A15" t="s">
        <v>507</v>
      </c>
      <c r="B15" t="s">
        <v>67</v>
      </c>
      <c r="C15" t="str" cm="1">
        <f t="array" ref="C15">_xlfn.CONCAT(Tableau4[[#This Row],[ETOILE]]," ",Tableau4[[#This Row],[CONST]])</f>
        <v>SZ AQL</v>
      </c>
      <c r="D15" s="14">
        <f>COUNTIF('ToM GEOS au fil de l''eau'!D10:D550,"SZ Aql")</f>
        <v>1</v>
      </c>
      <c r="I15" t="s">
        <v>725</v>
      </c>
      <c r="J15" s="34"/>
    </row>
    <row r="16" spans="1:21" x14ac:dyDescent="0.25">
      <c r="A16" t="s">
        <v>507</v>
      </c>
      <c r="B16" t="s">
        <v>68</v>
      </c>
      <c r="C16" t="str" cm="1">
        <f t="array" ref="C16">_xlfn.CONCAT(Tableau4[[#This Row],[ETOILE]]," ",Tableau4[[#This Row],[CONST]])</f>
        <v>TT AQL</v>
      </c>
      <c r="D16" s="14">
        <f>COUNTIF('ToM GEOS au fil de l''eau'!D10:D550,"TT Aql")</f>
        <v>9</v>
      </c>
      <c r="I16" t="s">
        <v>728</v>
      </c>
      <c r="J16" s="34"/>
    </row>
    <row r="17" spans="1:20" x14ac:dyDescent="0.25">
      <c r="A17" t="s">
        <v>507</v>
      </c>
      <c r="B17" t="s">
        <v>71</v>
      </c>
      <c r="C17" t="str" cm="1">
        <f t="array" ref="C17">_xlfn.CONCAT(Tableau4[[#This Row],[ETOILE]]," ",Tableau4[[#This Row],[CONST]])</f>
        <v>U AQL</v>
      </c>
      <c r="D17" s="14">
        <f>COUNTIF('ToM GEOS au fil de l''eau'!D10:D550,"U Aql")</f>
        <v>5</v>
      </c>
      <c r="I17" t="s">
        <v>729</v>
      </c>
      <c r="J17" s="34"/>
      <c r="K17" s="34"/>
    </row>
    <row r="18" spans="1:20" x14ac:dyDescent="0.25">
      <c r="A18" t="s">
        <v>507</v>
      </c>
      <c r="B18" t="s">
        <v>74</v>
      </c>
      <c r="C18" t="str" cm="1">
        <f t="array" ref="C18">_xlfn.CONCAT(Tableau4[[#This Row],[ETOILE]]," ",Tableau4[[#This Row],[CONST]])</f>
        <v>V1162 AQL</v>
      </c>
      <c r="D18" s="14">
        <f>COUNTIF('ToM GEOS au fil de l''eau'!D10:D550,"V1162 Aql")</f>
        <v>1</v>
      </c>
      <c r="I18" t="s">
        <v>724</v>
      </c>
      <c r="J18" s="34"/>
      <c r="K18" s="82" t="s">
        <v>532</v>
      </c>
      <c r="L18" s="81"/>
      <c r="M18" s="81"/>
      <c r="N18" s="81"/>
    </row>
    <row r="19" spans="1:20" x14ac:dyDescent="0.25">
      <c r="A19" t="s">
        <v>507</v>
      </c>
      <c r="B19" t="s">
        <v>75</v>
      </c>
      <c r="C19" t="str" cm="1">
        <f t="array" ref="C19">_xlfn.CONCAT(Tableau4[[#This Row],[ETOILE]]," ",Tableau4[[#This Row],[CONST]])</f>
        <v>V496 AQL</v>
      </c>
      <c r="D19" s="14">
        <f>COUNTIF('ToM GEOS au fil de l''eau'!D10:D550,"V496 Aql")</f>
        <v>2</v>
      </c>
      <c r="I19" t="s">
        <v>724</v>
      </c>
      <c r="J19" s="34"/>
      <c r="K19" s="80"/>
      <c r="L19" s="81" t="s">
        <v>678</v>
      </c>
      <c r="M19" s="81" t="s">
        <v>671</v>
      </c>
      <c r="N19" s="81"/>
    </row>
    <row r="20" spans="1:20" x14ac:dyDescent="0.25">
      <c r="A20" t="s">
        <v>507</v>
      </c>
      <c r="B20" t="s">
        <v>76</v>
      </c>
      <c r="C20" t="str" cm="1">
        <f t="array" ref="C20">_xlfn.CONCAT(Tableau4[[#This Row],[ETOILE]]," ",Tableau4[[#This Row],[CONST]])</f>
        <v>V526 AQL</v>
      </c>
      <c r="D20" s="95">
        <f>COUNTIF('ToM GEOS au fil de l''eau'!D10:D550,"V526 Aql")</f>
        <v>3</v>
      </c>
      <c r="I20" t="s">
        <v>730</v>
      </c>
      <c r="J20" s="34"/>
      <c r="K20" s="80"/>
      <c r="L20" s="81"/>
      <c r="M20" s="81"/>
      <c r="N20" s="81"/>
    </row>
    <row r="21" spans="1:20" x14ac:dyDescent="0.25">
      <c r="A21" t="s">
        <v>508</v>
      </c>
      <c r="B21" t="s">
        <v>85</v>
      </c>
      <c r="C21" t="str" cm="1">
        <f t="array" ref="C21">_xlfn.CONCAT(Tableau4[[#This Row],[ETOILE]]," ",Tableau4[[#This Row],[CONST]])</f>
        <v>RT AUR</v>
      </c>
      <c r="D21" s="95">
        <f>COUNTIF('ToM GEOS au fil de l''eau'!D10:D550,"RT Aur")</f>
        <v>59</v>
      </c>
      <c r="F21" t="s">
        <v>664</v>
      </c>
      <c r="I21" t="s">
        <v>731</v>
      </c>
      <c r="J21" s="34"/>
      <c r="K21" s="80"/>
      <c r="L21" s="81"/>
      <c r="M21" s="81"/>
      <c r="N21" s="81"/>
    </row>
    <row r="22" spans="1:20" x14ac:dyDescent="0.25">
      <c r="A22" t="s">
        <v>508</v>
      </c>
      <c r="B22" t="s">
        <v>123</v>
      </c>
      <c r="C22" t="str" cm="1">
        <f t="array" ref="C22">_xlfn.CONCAT(Tableau4[[#This Row],[ETOILE]]," ",Tableau4[[#This Row],[CONST]])</f>
        <v>RX AUR</v>
      </c>
      <c r="D22" s="14">
        <f>COUNTIF('ToM GEOS au fil de l''eau'!D10:D550,"RX Aur")</f>
        <v>5</v>
      </c>
      <c r="I22" t="s">
        <v>732</v>
      </c>
      <c r="J22" s="34"/>
      <c r="K22" s="80"/>
      <c r="L22" s="81" t="s">
        <v>651</v>
      </c>
      <c r="M22" s="81" t="s">
        <v>680</v>
      </c>
      <c r="N22" s="81"/>
    </row>
    <row r="23" spans="1:20" ht="18.75" x14ac:dyDescent="0.3">
      <c r="A23" t="s">
        <v>509</v>
      </c>
      <c r="B23" t="s">
        <v>125</v>
      </c>
      <c r="C23" t="str" cm="1">
        <f t="array" ref="C23">_xlfn.CONCAT(Tableau4[[#This Row],[ETOILE]]," ",Tableau4[[#This Row],[CONST]])</f>
        <v>CK CAM</v>
      </c>
      <c r="D23" s="14">
        <f>COUNTIF('ToM GEOS au fil de l''eau'!D10:D550,"CK Cam")</f>
        <v>6</v>
      </c>
      <c r="E23" t="s">
        <v>659</v>
      </c>
      <c r="I23" t="s">
        <v>733</v>
      </c>
      <c r="J23" s="34"/>
      <c r="K23" s="80"/>
      <c r="L23" s="81"/>
      <c r="M23" s="81"/>
      <c r="N23" s="81"/>
      <c r="O23" s="92" t="s">
        <v>693</v>
      </c>
      <c r="P23" s="92"/>
      <c r="Q23" s="92"/>
    </row>
    <row r="24" spans="1:20" ht="21" x14ac:dyDescent="0.35">
      <c r="A24" t="s">
        <v>509</v>
      </c>
      <c r="B24" t="s">
        <v>129</v>
      </c>
      <c r="C24" t="str" cm="1">
        <f t="array" ref="C24">_xlfn.CONCAT(Tableau4[[#This Row],[ETOILE]]," ",Tableau4[[#This Row],[CONST]])</f>
        <v>RW CAM</v>
      </c>
      <c r="D24" s="14">
        <f>COUNTIF('ToM GEOS au fil de l''eau'!D10:D550,"RW Cam")</f>
        <v>3</v>
      </c>
      <c r="I24" t="s">
        <v>734</v>
      </c>
      <c r="J24" s="34"/>
      <c r="K24" s="34"/>
      <c r="L24" s="94">
        <f>SUM(L25:L42)</f>
        <v>64</v>
      </c>
      <c r="M24" s="85"/>
      <c r="N24" s="85"/>
      <c r="O24" s="85"/>
      <c r="P24" s="85"/>
      <c r="Q24" s="85"/>
      <c r="R24" s="85"/>
      <c r="S24" s="85"/>
      <c r="T24" s="85"/>
    </row>
    <row r="25" spans="1:20" ht="18.75" x14ac:dyDescent="0.3">
      <c r="A25" t="s">
        <v>509</v>
      </c>
      <c r="B25" t="s">
        <v>123</v>
      </c>
      <c r="C25" t="str" cm="1">
        <f t="array" ref="C25">_xlfn.CONCAT(Tableau4[[#This Row],[ETOILE]]," ",Tableau4[[#This Row],[CONST]])</f>
        <v>RX CAM</v>
      </c>
      <c r="D25" s="14">
        <f>COUNTIF('ToM GEOS au fil de l''eau'!D10:D550,"RX Cam")</f>
        <v>6</v>
      </c>
      <c r="I25" t="s">
        <v>727</v>
      </c>
      <c r="J25" s="34"/>
      <c r="K25" s="34"/>
      <c r="L25" s="93">
        <f>COUNTA(M26:T35)</f>
        <v>37</v>
      </c>
      <c r="M25" s="86" t="s">
        <v>506</v>
      </c>
      <c r="N25" s="86" t="s">
        <v>507</v>
      </c>
      <c r="O25" s="86" t="s">
        <v>508</v>
      </c>
      <c r="P25" s="86" t="s">
        <v>509</v>
      </c>
      <c r="Q25" s="86" t="s">
        <v>510</v>
      </c>
      <c r="R25" s="86" t="s">
        <v>511</v>
      </c>
      <c r="S25" s="86" t="s">
        <v>512</v>
      </c>
      <c r="T25" s="86" t="s">
        <v>513</v>
      </c>
    </row>
    <row r="26" spans="1:20" ht="18.75" x14ac:dyDescent="0.3">
      <c r="A26" t="s">
        <v>510</v>
      </c>
      <c r="B26" t="s">
        <v>136</v>
      </c>
      <c r="C26" t="str" cm="1">
        <f t="array" ref="C26">_xlfn.CONCAT(Tableau4[[#This Row],[ETOILE]]," ",Tableau4[[#This Row],[CONST]])</f>
        <v>BD CAS</v>
      </c>
      <c r="D26" s="95">
        <f>COUNTIF('ToM GEOS au fil de l''eau'!D10:D550,"BD Cas")</f>
        <v>6</v>
      </c>
      <c r="I26" t="s">
        <v>730</v>
      </c>
      <c r="J26" s="34"/>
      <c r="K26" s="34"/>
      <c r="L26" s="93"/>
      <c r="M26" s="87" t="s">
        <v>22</v>
      </c>
      <c r="N26" s="87" t="s">
        <v>30</v>
      </c>
      <c r="O26" s="90" t="s">
        <v>85</v>
      </c>
      <c r="P26" s="87" t="s">
        <v>123</v>
      </c>
      <c r="Q26" s="87" t="s">
        <v>129</v>
      </c>
      <c r="R26" s="87" t="s">
        <v>163</v>
      </c>
      <c r="S26" s="87" t="s">
        <v>203</v>
      </c>
      <c r="T26" s="87" t="s">
        <v>194</v>
      </c>
    </row>
    <row r="27" spans="1:20" ht="18.75" x14ac:dyDescent="0.3">
      <c r="A27" t="s">
        <v>510</v>
      </c>
      <c r="B27" t="s">
        <v>129</v>
      </c>
      <c r="C27" t="str" cm="1">
        <f t="array" ref="C27">_xlfn.CONCAT(Tableau4[[#This Row],[ETOILE]]," ",Tableau4[[#This Row],[CONST]])</f>
        <v>RW CAS</v>
      </c>
      <c r="D27" s="14">
        <f>COUNTIF('ToM GEOS au fil de l''eau'!D10:D550,"RW Cas")</f>
        <v>2</v>
      </c>
      <c r="I27" t="s">
        <v>725</v>
      </c>
      <c r="J27" s="34"/>
      <c r="K27" s="34"/>
      <c r="L27" s="93"/>
      <c r="M27" s="87"/>
      <c r="N27" s="87" t="s">
        <v>71</v>
      </c>
      <c r="O27" s="87" t="s">
        <v>123</v>
      </c>
      <c r="P27" s="87" t="s">
        <v>129</v>
      </c>
      <c r="Q27" s="90" t="s">
        <v>142</v>
      </c>
      <c r="R27" s="87" t="s">
        <v>681</v>
      </c>
      <c r="S27" s="87" t="s">
        <v>145</v>
      </c>
      <c r="T27" s="87" t="s">
        <v>205</v>
      </c>
    </row>
    <row r="28" spans="1:20" ht="18.75" x14ac:dyDescent="0.3">
      <c r="A28" t="s">
        <v>510</v>
      </c>
      <c r="B28" t="s">
        <v>142</v>
      </c>
      <c r="C28" t="str" cm="1">
        <f t="array" ref="C28">_xlfn.CONCAT(Tableau4[[#This Row],[ETOILE]]," ",Tableau4[[#This Row],[CONST]])</f>
        <v>RY CAS</v>
      </c>
      <c r="D28" s="95">
        <f>COUNTIF('ToM GEOS au fil de l''eau'!D10:D550,"RY Cas")</f>
        <v>5</v>
      </c>
      <c r="F28" t="s">
        <v>660</v>
      </c>
      <c r="I28" t="s">
        <v>735</v>
      </c>
      <c r="J28" s="34"/>
      <c r="K28" s="34"/>
      <c r="L28" s="93"/>
      <c r="M28" s="87"/>
      <c r="N28" s="87" t="s">
        <v>67</v>
      </c>
      <c r="O28" s="87"/>
      <c r="P28" s="87" t="s">
        <v>125</v>
      </c>
      <c r="Q28" s="87" t="s">
        <v>145</v>
      </c>
      <c r="R28" s="87" t="s">
        <v>168</v>
      </c>
      <c r="S28" s="87" t="s">
        <v>67</v>
      </c>
      <c r="T28" s="91" t="s">
        <v>692</v>
      </c>
    </row>
    <row r="29" spans="1:20" ht="18.75" x14ac:dyDescent="0.3">
      <c r="A29" t="s">
        <v>510</v>
      </c>
      <c r="B29" t="s">
        <v>145</v>
      </c>
      <c r="C29" t="str" cm="1">
        <f t="array" ref="C29">_xlfn.CONCAT(Tableau4[[#This Row],[ETOILE]]," ",Tableau4[[#This Row],[CONST]])</f>
        <v>SU CAS</v>
      </c>
      <c r="D29" s="14">
        <f>COUNTIF('ToM GEOS au fil de l''eau'!D10:D550,"SU Cas")</f>
        <v>17</v>
      </c>
      <c r="I29" t="s">
        <v>736</v>
      </c>
      <c r="J29" s="34"/>
      <c r="K29" s="34"/>
      <c r="L29" s="93"/>
      <c r="M29" s="87"/>
      <c r="N29" s="87" t="s">
        <v>68</v>
      </c>
      <c r="O29" s="87"/>
      <c r="P29" s="87"/>
      <c r="Q29" s="87" t="s">
        <v>155</v>
      </c>
      <c r="R29" s="87"/>
      <c r="S29" s="87" t="s">
        <v>194</v>
      </c>
      <c r="T29" s="87"/>
    </row>
    <row r="30" spans="1:20" ht="18.75" x14ac:dyDescent="0.3">
      <c r="A30" t="s">
        <v>510</v>
      </c>
      <c r="B30" t="s">
        <v>155</v>
      </c>
      <c r="C30" t="str" cm="1">
        <f t="array" ref="C30">_xlfn.CONCAT(Tableau4[[#This Row],[ETOILE]]," ",Tableau4[[#This Row],[CONST]])</f>
        <v>TU CAS</v>
      </c>
      <c r="D30" s="14">
        <f>COUNTIF('ToM GEOS au fil de l''eau'!D10:D550,"TU Cas")</f>
        <v>5</v>
      </c>
      <c r="I30" t="s">
        <v>737</v>
      </c>
      <c r="J30" s="34"/>
      <c r="K30" s="34"/>
      <c r="L30" s="93"/>
      <c r="M30" s="87"/>
      <c r="N30" s="87" t="s">
        <v>51</v>
      </c>
      <c r="O30" s="87"/>
      <c r="P30" s="87"/>
      <c r="Q30" s="90" t="s">
        <v>136</v>
      </c>
      <c r="R30" s="87"/>
      <c r="S30" s="87" t="s">
        <v>201</v>
      </c>
      <c r="T30" s="87"/>
    </row>
    <row r="31" spans="1:20" ht="18.75" x14ac:dyDescent="0.3">
      <c r="A31" t="s">
        <v>510</v>
      </c>
      <c r="B31" t="s">
        <v>158</v>
      </c>
      <c r="C31" t="str" cm="1">
        <f t="array" ref="C31">_xlfn.CONCAT(Tableau4[[#This Row],[ETOILE]]," ",Tableau4[[#This Row],[CONST]])</f>
        <v>V407 CAS</v>
      </c>
      <c r="D31" s="14">
        <f>COUNTIF('ToM GEOS au fil de l''eau'!D10:D550,"V407 Cas")</f>
        <v>1</v>
      </c>
      <c r="I31" t="s">
        <v>730</v>
      </c>
      <c r="J31" s="34"/>
      <c r="K31" s="34"/>
      <c r="L31" s="93"/>
      <c r="M31" s="87"/>
      <c r="N31" s="87" t="s">
        <v>65</v>
      </c>
      <c r="O31" s="87"/>
      <c r="P31" s="87"/>
      <c r="Q31" s="87" t="s">
        <v>682</v>
      </c>
      <c r="R31" s="87"/>
      <c r="S31" s="87" t="s">
        <v>202</v>
      </c>
      <c r="T31" s="87"/>
    </row>
    <row r="32" spans="1:20" ht="18.75" x14ac:dyDescent="0.3">
      <c r="A32" t="s">
        <v>511</v>
      </c>
      <c r="B32" t="s">
        <v>163</v>
      </c>
      <c r="C32" t="str" cm="1">
        <f t="array" ref="C32">_xlfn.CONCAT(Tableau4[[#This Row],[ETOILE]]," ",Tableau4[[#This Row],[CONST]])</f>
        <v>DELTA CEP</v>
      </c>
      <c r="D32" s="14">
        <f>COUNTIF('ToM GEOS au fil de l''eau'!D10:D550,"DELTA Cep")</f>
        <v>11</v>
      </c>
      <c r="I32" t="s">
        <v>738</v>
      </c>
      <c r="J32" s="34"/>
      <c r="K32" s="34"/>
      <c r="L32" s="93"/>
      <c r="M32" s="87"/>
      <c r="N32" s="87" t="s">
        <v>75</v>
      </c>
      <c r="O32" s="87"/>
      <c r="P32" s="87"/>
      <c r="Q32" s="87" t="s">
        <v>158</v>
      </c>
      <c r="R32" s="87"/>
      <c r="S32" s="88" t="s">
        <v>173</v>
      </c>
      <c r="T32" s="87"/>
    </row>
    <row r="33" spans="1:20" ht="18.75" x14ac:dyDescent="0.3">
      <c r="A33" t="s">
        <v>511</v>
      </c>
      <c r="B33" t="s">
        <v>168</v>
      </c>
      <c r="C33" t="str" cm="1">
        <f t="array" ref="C33">_xlfn.CONCAT(Tableau4[[#This Row],[ETOILE]]," ",Tableau4[[#This Row],[CONST]])</f>
        <v>IR CEP</v>
      </c>
      <c r="D33" s="14">
        <f>COUNTIF('ToM GEOS au fil de l''eau'!D10:D550,"IR Cep")</f>
        <v>16</v>
      </c>
      <c r="F33" s="97" t="s">
        <v>694</v>
      </c>
      <c r="H33" s="97"/>
      <c r="I33" t="s">
        <v>739</v>
      </c>
      <c r="J33" s="34"/>
      <c r="K33" s="34"/>
      <c r="L33" s="93"/>
      <c r="M33" s="87"/>
      <c r="N33" s="90" t="s">
        <v>76</v>
      </c>
      <c r="O33" s="87"/>
      <c r="P33" s="87"/>
      <c r="Q33" s="87"/>
      <c r="R33" s="87"/>
      <c r="S33" s="90" t="s">
        <v>198</v>
      </c>
      <c r="T33" s="87"/>
    </row>
    <row r="34" spans="1:20" ht="18.75" x14ac:dyDescent="0.3">
      <c r="A34" t="s">
        <v>512</v>
      </c>
      <c r="B34" t="s">
        <v>173</v>
      </c>
      <c r="C34" t="str" cm="1">
        <f t="array" ref="C34">_xlfn.CONCAT(Tableau4[[#This Row],[ETOILE]]," ",Tableau4[[#This Row],[CONST]])</f>
        <v>DT CYG</v>
      </c>
      <c r="D34" s="14">
        <f>COUNTIF('ToM GEOS au fil de l''eau'!D10:D550,"DT Cyg")</f>
        <v>13</v>
      </c>
      <c r="I34" t="s">
        <v>740</v>
      </c>
      <c r="J34" s="34"/>
      <c r="K34" s="34"/>
      <c r="L34" s="93"/>
      <c r="M34" s="87"/>
      <c r="N34" s="87" t="s">
        <v>74</v>
      </c>
      <c r="O34" s="87"/>
      <c r="P34" s="87"/>
      <c r="Q34" s="87"/>
      <c r="R34" s="87"/>
      <c r="S34" s="87" t="s">
        <v>195</v>
      </c>
      <c r="T34" s="87"/>
    </row>
    <row r="35" spans="1:20" ht="18.75" x14ac:dyDescent="0.3">
      <c r="A35" t="s">
        <v>512</v>
      </c>
      <c r="B35" t="s">
        <v>145</v>
      </c>
      <c r="C35" t="str" cm="1">
        <f t="array" ref="C35">_xlfn.CONCAT(Tableau4[[#This Row],[ETOILE]]," ",Tableau4[[#This Row],[CONST]])</f>
        <v>SU CYG</v>
      </c>
      <c r="D35" s="14">
        <f>COUNTIF('ToM GEOS au fil de l''eau'!D10:D550,"SU Cyg")</f>
        <v>25</v>
      </c>
      <c r="I35" t="s">
        <v>741</v>
      </c>
      <c r="J35" s="34"/>
      <c r="K35" s="34"/>
      <c r="L35" s="93"/>
      <c r="M35" s="87"/>
      <c r="N35" s="87"/>
      <c r="O35" s="87"/>
      <c r="P35" s="87"/>
      <c r="Q35" s="87"/>
      <c r="R35" s="87"/>
      <c r="S35" s="87"/>
      <c r="T35" s="87"/>
    </row>
    <row r="36" spans="1:20" ht="18.75" x14ac:dyDescent="0.3">
      <c r="A36" t="s">
        <v>512</v>
      </c>
      <c r="B36" t="s">
        <v>67</v>
      </c>
      <c r="C36" t="str" cm="1">
        <f t="array" ref="C36">_xlfn.CONCAT(Tableau4[[#This Row],[ETOILE]]," ",Tableau4[[#This Row],[CONST]])</f>
        <v>SZ CYG</v>
      </c>
      <c r="D36" s="14">
        <f>COUNTIF('ToM GEOS au fil de l''eau'!D10:D550,"SZ Cyg")</f>
        <v>1</v>
      </c>
      <c r="I36" t="s">
        <v>742</v>
      </c>
      <c r="J36" s="34"/>
      <c r="K36" s="34"/>
      <c r="L36" s="93">
        <f>COUNTA(M37:T41)</f>
        <v>16</v>
      </c>
      <c r="M36" s="86" t="s">
        <v>514</v>
      </c>
      <c r="N36" s="86" t="s">
        <v>515</v>
      </c>
      <c r="O36" s="86" t="s">
        <v>516</v>
      </c>
      <c r="P36" s="86" t="s">
        <v>517</v>
      </c>
      <c r="Q36" s="86" t="s">
        <v>518</v>
      </c>
      <c r="R36" s="86" t="s">
        <v>519</v>
      </c>
      <c r="S36" s="86" t="s">
        <v>520</v>
      </c>
      <c r="T36" s="86" t="s">
        <v>522</v>
      </c>
    </row>
    <row r="37" spans="1:20" ht="18.75" x14ac:dyDescent="0.3">
      <c r="A37" t="s">
        <v>512</v>
      </c>
      <c r="B37" t="s">
        <v>194</v>
      </c>
      <c r="C37" t="str" cm="1">
        <f t="array" ref="C37">_xlfn.CONCAT(Tableau4[[#This Row],[ETOILE]]," ",Tableau4[[#This Row],[CONST]])</f>
        <v>TX CYG</v>
      </c>
      <c r="D37" s="14">
        <f>COUNTIF('ToM GEOS au fil de l''eau'!D10:D550,"TX Cyg")</f>
        <v>4</v>
      </c>
      <c r="I37" t="s">
        <v>725</v>
      </c>
      <c r="J37" s="34"/>
      <c r="K37" s="34"/>
      <c r="L37" s="93"/>
      <c r="M37" s="87" t="s">
        <v>207</v>
      </c>
      <c r="N37" s="87" t="s">
        <v>220</v>
      </c>
      <c r="O37" s="90" t="s">
        <v>226</v>
      </c>
      <c r="P37" s="87" t="s">
        <v>231</v>
      </c>
      <c r="Q37" s="87" t="s">
        <v>239</v>
      </c>
      <c r="R37" s="87" t="s">
        <v>246</v>
      </c>
      <c r="S37" s="87" t="s">
        <v>521</v>
      </c>
      <c r="T37" s="87" t="s">
        <v>254</v>
      </c>
    </row>
    <row r="38" spans="1:20" ht="18.75" x14ac:dyDescent="0.3">
      <c r="A38" t="s">
        <v>512</v>
      </c>
      <c r="B38" t="s">
        <v>195</v>
      </c>
      <c r="C38" t="str" cm="1">
        <f t="array" ref="C38">_xlfn.CONCAT(Tableau4[[#This Row],[ETOILE]]," ",Tableau4[[#This Row],[CONST]])</f>
        <v>V1334 CYG</v>
      </c>
      <c r="D38" s="14">
        <f>COUNTIF('ToM GEOS au fil de l''eau'!D10:D550,"V1334 Cyg")</f>
        <v>8</v>
      </c>
      <c r="I38" t="s">
        <v>743</v>
      </c>
      <c r="J38" s="34"/>
      <c r="K38" s="34"/>
      <c r="L38" s="93"/>
      <c r="M38" s="90" t="s">
        <v>210</v>
      </c>
      <c r="N38" s="87" t="s">
        <v>221</v>
      </c>
      <c r="O38" s="87" t="s">
        <v>203</v>
      </c>
      <c r="P38" s="87"/>
      <c r="Q38" s="87" t="s">
        <v>237</v>
      </c>
      <c r="R38" s="87"/>
      <c r="S38" s="87" t="s">
        <v>250</v>
      </c>
      <c r="T38" s="87" t="s">
        <v>201</v>
      </c>
    </row>
    <row r="39" spans="1:20" ht="18.75" x14ac:dyDescent="0.3">
      <c r="A39" t="s">
        <v>512</v>
      </c>
      <c r="B39" t="s">
        <v>198</v>
      </c>
      <c r="C39" t="str" cm="1">
        <f t="array" ref="C39">_xlfn.CONCAT(Tableau4[[#This Row],[ETOILE]]," ",Tableau4[[#This Row],[CONST]])</f>
        <v>V514 CYG</v>
      </c>
      <c r="D39" s="95">
        <f>COUNTIF('ToM GEOS au fil de l''eau'!D10:D550,"V514 Cyg")</f>
        <v>9</v>
      </c>
      <c r="I39" t="s">
        <v>730</v>
      </c>
      <c r="J39" s="34"/>
      <c r="K39" s="34"/>
      <c r="L39" s="93"/>
      <c r="M39" s="87"/>
      <c r="N39" s="87"/>
      <c r="O39" s="87" t="s">
        <v>228</v>
      </c>
      <c r="P39" s="87"/>
      <c r="Q39" s="87"/>
      <c r="R39" s="87"/>
      <c r="S39" s="87"/>
      <c r="T39" s="87"/>
    </row>
    <row r="40" spans="1:20" ht="18.75" x14ac:dyDescent="0.3">
      <c r="A40" t="s">
        <v>512</v>
      </c>
      <c r="B40" t="s">
        <v>201</v>
      </c>
      <c r="C40" t="str" cm="1">
        <f t="array" ref="C40">_xlfn.CONCAT(Tableau4[[#This Row],[ETOILE]]," ",Tableau4[[#This Row],[CONST]])</f>
        <v>VX CYG</v>
      </c>
      <c r="D40" s="14">
        <f>COUNTIF('ToM GEOS au fil de l''eau'!D10:D550,"VX Cyg")</f>
        <v>1</v>
      </c>
      <c r="I40" t="s">
        <v>735</v>
      </c>
      <c r="L40" s="93"/>
      <c r="M40" s="87"/>
      <c r="N40" s="87"/>
      <c r="O40" s="87" t="s">
        <v>223</v>
      </c>
      <c r="P40" s="87"/>
      <c r="Q40" s="87"/>
      <c r="R40" s="87"/>
      <c r="S40" s="87"/>
      <c r="T40" s="87"/>
    </row>
    <row r="41" spans="1:20" ht="18.75" x14ac:dyDescent="0.3">
      <c r="A41" t="s">
        <v>512</v>
      </c>
      <c r="B41" t="s">
        <v>202</v>
      </c>
      <c r="C41" t="str" cm="1">
        <f t="array" ref="C41">_xlfn.CONCAT(Tableau4[[#This Row],[ETOILE]]," ",Tableau4[[#This Row],[CONST]])</f>
        <v>VY CYG</v>
      </c>
      <c r="D41" s="14">
        <f>COUNTIF('ToM GEOS au fil de l''eau'!D10:D550,"VY Cyg")</f>
        <v>1</v>
      </c>
      <c r="I41" t="s">
        <v>744</v>
      </c>
      <c r="L41" s="93"/>
      <c r="M41" s="87"/>
      <c r="N41" s="87"/>
      <c r="O41" s="87"/>
      <c r="P41" s="87"/>
      <c r="Q41" s="87"/>
      <c r="R41" s="87"/>
      <c r="S41" s="87"/>
      <c r="T41" s="87"/>
    </row>
    <row r="42" spans="1:20" ht="18.75" x14ac:dyDescent="0.3">
      <c r="A42" t="s">
        <v>512</v>
      </c>
      <c r="B42" t="s">
        <v>203</v>
      </c>
      <c r="C42" t="str" cm="1">
        <f t="array" ref="C42">_xlfn.CONCAT(Tableau4[[#This Row],[ETOILE]]," ",Tableau4[[#This Row],[CONST]])</f>
        <v>X CYG</v>
      </c>
      <c r="D42" s="14">
        <f>COUNTIF('ToM GEOS au fil de l''eau'!D10:D550,"X Cyg")</f>
        <v>19</v>
      </c>
      <c r="I42" t="s">
        <v>745</v>
      </c>
      <c r="L42" s="93">
        <f>COUNTA(M43:T49)</f>
        <v>11</v>
      </c>
      <c r="M42" s="86" t="s">
        <v>523</v>
      </c>
      <c r="N42" s="86" t="s">
        <v>524</v>
      </c>
      <c r="O42" s="86" t="s">
        <v>526</v>
      </c>
      <c r="P42" s="86"/>
      <c r="Q42" s="86"/>
      <c r="R42" s="86"/>
      <c r="S42" s="86"/>
      <c r="T42" s="86"/>
    </row>
    <row r="43" spans="1:20" ht="18.75" x14ac:dyDescent="0.3">
      <c r="A43" t="s">
        <v>513</v>
      </c>
      <c r="B43" t="s">
        <v>205</v>
      </c>
      <c r="C43" t="str" cm="1">
        <f t="array" ref="C43">_xlfn.CONCAT(Tableau4[[#This Row],[ETOILE]]," ",Tableau4[[#This Row],[CONST]])</f>
        <v>BX DEL</v>
      </c>
      <c r="D43" s="14">
        <f>COUNTIF('ToM GEOS au fil de l''eau'!D10:D550,"BX Del")</f>
        <v>1</v>
      </c>
      <c r="I43" t="s">
        <v>730</v>
      </c>
      <c r="L43" s="93"/>
      <c r="M43" s="87" t="s">
        <v>257</v>
      </c>
      <c r="N43" s="87" t="s">
        <v>260</v>
      </c>
      <c r="O43" s="87" t="s">
        <v>239</v>
      </c>
      <c r="P43" s="87"/>
      <c r="Q43" s="87"/>
      <c r="R43" s="87"/>
      <c r="S43" s="87"/>
      <c r="T43" s="87"/>
    </row>
    <row r="44" spans="1:20" ht="18.75" x14ac:dyDescent="0.3">
      <c r="A44" t="s">
        <v>513</v>
      </c>
      <c r="B44" t="s">
        <v>194</v>
      </c>
      <c r="C44" t="str" cm="1">
        <f t="array" ref="C44">_xlfn.CONCAT(Tableau4[[#This Row],[ETOILE]]," ",Tableau4[[#This Row],[CONST]])</f>
        <v>TX DEL</v>
      </c>
      <c r="D44" s="14">
        <f>COUNTIF('ToM GEOS au fil de l''eau'!D10:D550,"TX Del")</f>
        <v>1</v>
      </c>
      <c r="I44" t="s">
        <v>746</v>
      </c>
      <c r="L44" s="84"/>
      <c r="M44" s="87" t="s">
        <v>683</v>
      </c>
      <c r="N44" s="90" t="s">
        <v>67</v>
      </c>
      <c r="O44" s="87" t="s">
        <v>71</v>
      </c>
      <c r="P44" s="87"/>
      <c r="Q44" s="87"/>
      <c r="R44" s="87"/>
      <c r="S44" s="87"/>
      <c r="T44" s="87"/>
    </row>
    <row r="45" spans="1:20" ht="18.75" x14ac:dyDescent="0.3">
      <c r="A45" t="s">
        <v>514</v>
      </c>
      <c r="B45" t="s">
        <v>207</v>
      </c>
      <c r="C45" t="str" cm="1">
        <f t="array" ref="C45">_xlfn.CONCAT(Tableau4[[#This Row],[ETOILE]]," ",Tableau4[[#This Row],[CONST]])</f>
        <v>DZETA GEM</v>
      </c>
      <c r="D45" s="14">
        <f>COUNTIF('ToM GEOS au fil de l''eau'!D10:D550,"DZETA Gem")</f>
        <v>12</v>
      </c>
      <c r="I45" t="s">
        <v>747</v>
      </c>
      <c r="L45" s="84"/>
      <c r="M45" s="87"/>
      <c r="N45" s="87" t="s">
        <v>525</v>
      </c>
      <c r="O45" s="90" t="s">
        <v>254</v>
      </c>
      <c r="P45" s="87"/>
      <c r="Q45" s="87"/>
      <c r="R45" s="87"/>
      <c r="S45" s="87"/>
      <c r="T45" s="87"/>
    </row>
    <row r="46" spans="1:20" ht="18.75" x14ac:dyDescent="0.3">
      <c r="A46" t="s">
        <v>514</v>
      </c>
      <c r="B46" t="s">
        <v>210</v>
      </c>
      <c r="C46" t="str" cm="1">
        <f t="array" ref="C46">_xlfn.CONCAT(Tableau4[[#This Row],[ETOILE]]," ",Tableau4[[#This Row],[CONST]])</f>
        <v>W GEM</v>
      </c>
      <c r="D46" s="98">
        <f>COUNTIFS('ToM GEOS au fil de l''eau'!D10:D550,"W Gem")</f>
        <v>30</v>
      </c>
      <c r="E46" s="98">
        <v>31</v>
      </c>
      <c r="F46" t="s">
        <v>661</v>
      </c>
      <c r="I46" t="s">
        <v>748</v>
      </c>
      <c r="L46" s="84"/>
      <c r="M46" s="87"/>
      <c r="N46" s="87"/>
      <c r="O46" s="87" t="s">
        <v>273</v>
      </c>
      <c r="P46" s="87"/>
      <c r="Q46" s="87"/>
      <c r="R46" s="87"/>
      <c r="S46" s="87"/>
      <c r="T46" s="87"/>
    </row>
    <row r="47" spans="1:20" ht="18.75" x14ac:dyDescent="0.3">
      <c r="A47" t="s">
        <v>515</v>
      </c>
      <c r="B47" t="s">
        <v>220</v>
      </c>
      <c r="C47" t="str" cm="1">
        <f t="array" ref="C47">_xlfn.CONCAT(Tableau4[[#This Row],[ETOILE]]," ",Tableau4[[#This Row],[CONST]])</f>
        <v>BB HER</v>
      </c>
      <c r="D47" s="14">
        <f>COUNTIF('ToM GEOS au fil de l''eau'!D10:D550,"BB Her")</f>
        <v>1</v>
      </c>
      <c r="I47" t="s">
        <v>730</v>
      </c>
      <c r="L47" s="84"/>
      <c r="M47" s="87"/>
      <c r="N47" s="87"/>
      <c r="O47" s="87" t="s">
        <v>274</v>
      </c>
      <c r="P47" s="87"/>
      <c r="Q47" s="87"/>
      <c r="R47" s="87"/>
      <c r="S47" s="87"/>
      <c r="T47" s="87"/>
    </row>
    <row r="48" spans="1:20" ht="18.75" x14ac:dyDescent="0.3">
      <c r="A48" t="s">
        <v>515</v>
      </c>
      <c r="B48" t="s">
        <v>221</v>
      </c>
      <c r="C48" t="str" cm="1">
        <f t="array" ref="C48">_xlfn.CONCAT(Tableau4[[#This Row],[ETOILE]]," ",Tableau4[[#This Row],[CONST]])</f>
        <v>BL HER</v>
      </c>
      <c r="D48" s="14">
        <f>COUNTIF('ToM GEOS au fil de l''eau'!D10:D550,"BL Her")</f>
        <v>3</v>
      </c>
      <c r="I48" t="s">
        <v>730</v>
      </c>
      <c r="L48" s="84"/>
      <c r="M48" s="87"/>
      <c r="N48" s="87"/>
      <c r="O48" s="87" t="s">
        <v>275</v>
      </c>
      <c r="P48" s="87"/>
      <c r="Q48" s="87"/>
      <c r="R48" s="87"/>
      <c r="S48" s="87"/>
      <c r="T48" s="87"/>
    </row>
    <row r="49" spans="1:20" ht="18.75" x14ac:dyDescent="0.3">
      <c r="A49" t="s">
        <v>516</v>
      </c>
      <c r="B49" t="s">
        <v>223</v>
      </c>
      <c r="C49" t="str" cm="1">
        <f t="array" ref="C49">_xlfn.CONCAT(Tableau4[[#This Row],[ETOILE]]," ",Tableau4[[#This Row],[CONST]])</f>
        <v>RR LAC</v>
      </c>
      <c r="D49" s="14">
        <f>COUNTIF('ToM GEOS au fil de l''eau'!D10:D550,"RR Lac")</f>
        <v>6</v>
      </c>
      <c r="I49" t="s">
        <v>728</v>
      </c>
      <c r="M49" s="83"/>
      <c r="N49" s="83"/>
      <c r="O49" s="83"/>
      <c r="P49" s="83"/>
      <c r="Q49" s="83"/>
      <c r="R49" s="83"/>
      <c r="S49" s="83"/>
      <c r="T49" s="83"/>
    </row>
    <row r="50" spans="1:20" x14ac:dyDescent="0.25">
      <c r="A50" t="s">
        <v>516</v>
      </c>
      <c r="B50" t="s">
        <v>226</v>
      </c>
      <c r="C50" t="str" cm="1">
        <f t="array" ref="C50">_xlfn.CONCAT(Tableau4[[#This Row],[ETOILE]]," ",Tableau4[[#This Row],[CONST]])</f>
        <v>V LAC</v>
      </c>
      <c r="D50" s="95">
        <f>COUNTIF('ToM GEOS au fil de l''eau'!D10:D550,"V Lac")</f>
        <v>4</v>
      </c>
      <c r="F50" t="s">
        <v>660</v>
      </c>
      <c r="I50" t="s">
        <v>749</v>
      </c>
      <c r="M50" s="14"/>
      <c r="N50" s="14"/>
      <c r="O50" s="14"/>
      <c r="P50" s="14"/>
      <c r="Q50" s="14"/>
      <c r="R50" s="14"/>
      <c r="S50" s="14"/>
      <c r="T50" s="14"/>
    </row>
    <row r="51" spans="1:20" x14ac:dyDescent="0.25">
      <c r="A51" t="s">
        <v>516</v>
      </c>
      <c r="B51" t="s">
        <v>203</v>
      </c>
      <c r="C51" t="str" cm="1">
        <f t="array" ref="C51">_xlfn.CONCAT(Tableau4[[#This Row],[ETOILE]]," ",Tableau4[[#This Row],[CONST]])</f>
        <v>X LAC</v>
      </c>
      <c r="D51" s="14">
        <f>COUNTIF('ToM GEOS au fil de l''eau'!D10:D550,"X Lac")</f>
        <v>2</v>
      </c>
      <c r="I51" t="s">
        <v>750</v>
      </c>
    </row>
    <row r="52" spans="1:20" x14ac:dyDescent="0.25">
      <c r="A52" t="s">
        <v>516</v>
      </c>
      <c r="B52" t="s">
        <v>228</v>
      </c>
      <c r="C52" t="str" cm="1">
        <f t="array" ref="C52">_xlfn.CONCAT(Tableau4[[#This Row],[ETOILE]]," ",Tableau4[[#This Row],[CONST]])</f>
        <v>Z LAC</v>
      </c>
      <c r="D52" s="14">
        <f>COUNTIF('ToM GEOS au fil de l''eau'!D10:D550,"Z Lac")</f>
        <v>3</v>
      </c>
      <c r="I52" t="s">
        <v>751</v>
      </c>
    </row>
    <row r="53" spans="1:20" x14ac:dyDescent="0.25">
      <c r="A53" t="s">
        <v>517</v>
      </c>
      <c r="B53" t="s">
        <v>230</v>
      </c>
      <c r="C53" t="str" cm="1">
        <f t="array" ref="C53">_xlfn.CONCAT(Tableau4[[#This Row],[ETOILE]]," ",Tableau4[[#This Row],[CONST]])</f>
        <v>CC LYR</v>
      </c>
      <c r="D53" s="14">
        <f>COUNTIF('ToM GEOS au fil de l''eau'!D10:D550,"CC Lyr")</f>
        <v>1</v>
      </c>
      <c r="I53" t="s">
        <v>730</v>
      </c>
    </row>
    <row r="54" spans="1:20" x14ac:dyDescent="0.25">
      <c r="A54" t="s">
        <v>517</v>
      </c>
      <c r="B54" t="s">
        <v>231</v>
      </c>
      <c r="C54" t="str" cm="1">
        <f t="array" ref="C54">_xlfn.CONCAT(Tableau4[[#This Row],[ETOILE]]," ",Tableau4[[#This Row],[CONST]])</f>
        <v>V473 LYR</v>
      </c>
      <c r="D54" s="14">
        <f>COUNTIF('ToM GEOS au fil de l''eau'!D10:D550,"V473 Lyr")</f>
        <v>3</v>
      </c>
      <c r="I54" t="s">
        <v>752</v>
      </c>
    </row>
    <row r="55" spans="1:20" x14ac:dyDescent="0.25">
      <c r="A55" t="s">
        <v>518</v>
      </c>
      <c r="B55" t="s">
        <v>237</v>
      </c>
      <c r="C55" t="str" cm="1">
        <f t="array" ref="C55">_xlfn.CONCAT(Tableau4[[#This Row],[ETOILE]]," ",Tableau4[[#This Row],[CONST]])</f>
        <v>BE MON</v>
      </c>
      <c r="D55" s="14">
        <f>COUNTIF('ToM GEOS au fil de l''eau'!D10:D550,"BE Mon")</f>
        <v>1</v>
      </c>
      <c r="I55" t="s">
        <v>753</v>
      </c>
    </row>
    <row r="56" spans="1:20" x14ac:dyDescent="0.25">
      <c r="A56" t="s">
        <v>518</v>
      </c>
      <c r="B56" t="s">
        <v>239</v>
      </c>
      <c r="C56" t="str" cm="1">
        <f t="array" ref="C56">_xlfn.CONCAT(Tableau4[[#This Row],[ETOILE]]," ",Tableau4[[#This Row],[CONST]])</f>
        <v>T MON</v>
      </c>
      <c r="D56" s="14">
        <f>COUNTIF('ToM GEOS au fil de l''eau'!D10:D550,"T Mon")</f>
        <v>15</v>
      </c>
      <c r="I56" t="s">
        <v>725</v>
      </c>
    </row>
    <row r="57" spans="1:20" x14ac:dyDescent="0.25">
      <c r="A57" t="s">
        <v>519</v>
      </c>
      <c r="B57" t="s">
        <v>246</v>
      </c>
      <c r="C57" t="str" cm="1">
        <f t="array" ref="C57">_xlfn.CONCAT(Tableau4[[#This Row],[ETOILE]]," ",Tableau4[[#This Row],[CONST]])</f>
        <v>Y OPH</v>
      </c>
      <c r="D57" s="14">
        <f>COUNTIF('ToM GEOS au fil de l''eau'!D10:D550,"Y Oph")</f>
        <v>5</v>
      </c>
      <c r="I57" t="s">
        <v>725</v>
      </c>
    </row>
    <row r="58" spans="1:20" x14ac:dyDescent="0.25">
      <c r="A58" t="s">
        <v>520</v>
      </c>
      <c r="B58" t="s">
        <v>250</v>
      </c>
      <c r="C58" t="str" cm="1">
        <f t="array" ref="C58">_xlfn.CONCAT(Tableau4[[#This Row],[ETOILE]]," ",Tableau4[[#This Row],[CONST]])</f>
        <v>GQ ORI</v>
      </c>
      <c r="D58" s="14">
        <f>COUNTIF('ToM GEOS au fil de l''eau'!D10:D550,"GQ Ori")</f>
        <v>2</v>
      </c>
      <c r="I58" t="s">
        <v>754</v>
      </c>
    </row>
    <row r="59" spans="1:20" x14ac:dyDescent="0.25">
      <c r="A59" t="s">
        <v>520</v>
      </c>
      <c r="B59" t="s">
        <v>521</v>
      </c>
      <c r="C59" t="str" cm="1">
        <f t="array" ref="C59">_xlfn.CONCAT(Tableau4[[#This Row],[ETOILE]]," ",Tableau4[[#This Row],[CONST]])</f>
        <v>RS ORI</v>
      </c>
      <c r="D59" s="14">
        <f>COUNTIF('ToM GEOS au fil de l''eau'!D10:D550,"RS Ori")</f>
        <v>0</v>
      </c>
      <c r="I59" t="s">
        <v>755</v>
      </c>
    </row>
    <row r="60" spans="1:20" x14ac:dyDescent="0.25">
      <c r="A60" t="s">
        <v>522</v>
      </c>
      <c r="B60" t="s">
        <v>252</v>
      </c>
      <c r="C60" t="str" cm="1">
        <f t="array" ref="C60">_xlfn.CONCAT(Tableau4[[#This Row],[ETOILE]]," ",Tableau4[[#This Row],[CONST]])</f>
        <v>AW PER</v>
      </c>
      <c r="D60" s="14">
        <f>COUNTIF('ToM GEOS au fil de l''eau'!D10:D550,"AW Per")</f>
        <v>12</v>
      </c>
      <c r="I60" t="s">
        <v>728</v>
      </c>
    </row>
    <row r="61" spans="1:20" x14ac:dyDescent="0.25">
      <c r="A61" t="s">
        <v>522</v>
      </c>
      <c r="B61" t="s">
        <v>254</v>
      </c>
      <c r="C61" t="str" cm="1">
        <f t="array" ref="C61">_xlfn.CONCAT(Tableau4[[#This Row],[ETOILE]]," ",Tableau4[[#This Row],[CONST]])</f>
        <v>SV PER</v>
      </c>
      <c r="D61" s="14">
        <f>COUNTIF('ToM GEOS au fil de l''eau'!D10:D550,"SV Per")</f>
        <v>1</v>
      </c>
      <c r="I61" t="s">
        <v>741</v>
      </c>
    </row>
    <row r="62" spans="1:20" x14ac:dyDescent="0.25">
      <c r="A62" t="s">
        <v>522</v>
      </c>
      <c r="B62" t="s">
        <v>201</v>
      </c>
      <c r="C62" t="str" cm="1">
        <f t="array" ref="C62">_xlfn.CONCAT(Tableau4[[#This Row],[ETOILE]]," ",Tableau4[[#This Row],[CONST]])</f>
        <v>VX PER</v>
      </c>
      <c r="D62" s="14">
        <f>COUNTIF('ToM GEOS au fil de l''eau'!D10:D550,"VX Per")</f>
        <v>2</v>
      </c>
      <c r="I62" t="s">
        <v>756</v>
      </c>
    </row>
    <row r="63" spans="1:20" x14ac:dyDescent="0.25">
      <c r="A63" t="s">
        <v>523</v>
      </c>
      <c r="B63" t="s">
        <v>257</v>
      </c>
      <c r="C63" t="str" cm="1">
        <f t="array" ref="C63">_xlfn.CONCAT(Tableau4[[#This Row],[ETOILE]]," ",Tableau4[[#This Row],[CONST]])</f>
        <v>S SGE</v>
      </c>
      <c r="D63" s="14">
        <f>COUNTIF('ToM GEOS au fil de l''eau'!D10:D550,"S Sge")</f>
        <v>18</v>
      </c>
      <c r="I63" t="s">
        <v>757</v>
      </c>
    </row>
    <row r="64" spans="1:20" x14ac:dyDescent="0.25">
      <c r="A64" t="s">
        <v>524</v>
      </c>
      <c r="B64" t="s">
        <v>525</v>
      </c>
      <c r="C64" t="str" cm="1">
        <f t="array" ref="C64">_xlfn.CONCAT(Tableau4[[#This Row],[ETOILE]]," ",Tableau4[[#This Row],[CONST]])</f>
        <v>EU TAU</v>
      </c>
      <c r="D64" s="14">
        <f>COUNTIF('ToM GEOS au fil de l''eau'!D10:D550,"EU Tau")</f>
        <v>0</v>
      </c>
      <c r="I64" t="s">
        <v>758</v>
      </c>
    </row>
    <row r="65" spans="1:9" x14ac:dyDescent="0.25">
      <c r="A65" t="s">
        <v>524</v>
      </c>
      <c r="B65" t="s">
        <v>260</v>
      </c>
      <c r="C65" t="str" cm="1">
        <f t="array" ref="C65">_xlfn.CONCAT(Tableau4[[#This Row],[ETOILE]]," ",Tableau4[[#This Row],[CONST]])</f>
        <v>ST TAU</v>
      </c>
      <c r="D65" s="14">
        <f>COUNTIF('ToM GEOS au fil de l''eau'!D10:D550,"ST Tau")</f>
        <v>1</v>
      </c>
      <c r="I65" t="s">
        <v>727</v>
      </c>
    </row>
    <row r="66" spans="1:9" x14ac:dyDescent="0.25">
      <c r="A66" s="10" t="s">
        <v>524</v>
      </c>
      <c r="B66" s="10" t="s">
        <v>67</v>
      </c>
      <c r="C66" s="36" t="str" cm="1">
        <f t="array" ref="C66">_xlfn.CONCAT(Tableau4[[#This Row],[ETOILE]]," ",Tableau4[[#This Row],[CONST]])</f>
        <v>SZ TAU</v>
      </c>
      <c r="D66" s="96">
        <f>COUNTIF('ToM GEOS au fil de l''eau'!D10:D553,"SZ Tau")</f>
        <v>33</v>
      </c>
      <c r="E66" s="36" t="s">
        <v>700</v>
      </c>
      <c r="F66" s="97" t="s">
        <v>694</v>
      </c>
      <c r="H66" s="97"/>
      <c r="I66" t="s">
        <v>756</v>
      </c>
    </row>
    <row r="67" spans="1:9" x14ac:dyDescent="0.25">
      <c r="A67" t="s">
        <v>526</v>
      </c>
      <c r="B67" t="s">
        <v>273</v>
      </c>
      <c r="C67" t="str" cm="1">
        <f t="array" ref="C67">_xlfn.CONCAT(Tableau4[[#This Row],[ETOILE]]," ",Tableau4[[#This Row],[CONST]])</f>
        <v>AS VUL</v>
      </c>
      <c r="D67" s="14">
        <f>COUNTIF('ToM GEOS au fil de l''eau'!D10:D550,"AS Vul")</f>
        <v>1</v>
      </c>
      <c r="I67" t="s">
        <v>730</v>
      </c>
    </row>
    <row r="68" spans="1:9" x14ac:dyDescent="0.25">
      <c r="A68" t="s">
        <v>526</v>
      </c>
      <c r="B68" t="s">
        <v>274</v>
      </c>
      <c r="C68" t="str" cm="1">
        <f t="array" ref="C68">_xlfn.CONCAT(Tableau4[[#This Row],[ETOILE]]," ",Tableau4[[#This Row],[CONST]])</f>
        <v>BR VUL</v>
      </c>
      <c r="D68" s="14">
        <f>COUNTIF('ToM GEOS au fil de l''eau'!D10:D550,"BR Vul")</f>
        <v>1</v>
      </c>
      <c r="I68" t="s">
        <v>730</v>
      </c>
    </row>
    <row r="69" spans="1:9" x14ac:dyDescent="0.25">
      <c r="A69" t="s">
        <v>526</v>
      </c>
      <c r="B69" t="s">
        <v>275</v>
      </c>
      <c r="C69" t="str" cm="1">
        <f t="array" ref="C69">_xlfn.CONCAT(Tableau4[[#This Row],[ETOILE]]," ",Tableau4[[#This Row],[CONST]])</f>
        <v>DG VUL</v>
      </c>
      <c r="D69" s="14">
        <f>COUNTIF('ToM GEOS au fil de l''eau'!D10:D550,"DG Vul")</f>
        <v>1</v>
      </c>
      <c r="I69" t="s">
        <v>727</v>
      </c>
    </row>
    <row r="70" spans="1:9" x14ac:dyDescent="0.25">
      <c r="A70" t="s">
        <v>526</v>
      </c>
      <c r="B70" t="s">
        <v>254</v>
      </c>
      <c r="C70" t="str" cm="1">
        <f t="array" ref="C70">_xlfn.CONCAT(Tableau4[[#This Row],[ETOILE]]," ",Tableau4[[#This Row],[CONST]])</f>
        <v>SV VUL</v>
      </c>
      <c r="D70" s="95">
        <f>COUNTIF('ToM GEOS au fil de l''eau'!D10:D550,"SV Vul")</f>
        <v>80</v>
      </c>
      <c r="F70" t="s">
        <v>527</v>
      </c>
      <c r="I70" t="s">
        <v>749</v>
      </c>
    </row>
    <row r="71" spans="1:9" x14ac:dyDescent="0.25">
      <c r="A71" t="s">
        <v>526</v>
      </c>
      <c r="B71" t="s">
        <v>239</v>
      </c>
      <c r="C71" t="str" cm="1">
        <f t="array" ref="C71">_xlfn.CONCAT(Tableau4[[#This Row],[ETOILE]]," ",Tableau4[[#This Row],[CONST]])</f>
        <v>T VUL</v>
      </c>
      <c r="D71" s="14">
        <f>COUNTIF('ToM GEOS au fil de l''eau'!D10:D550,"T vul")</f>
        <v>5</v>
      </c>
      <c r="I71" t="s">
        <v>759</v>
      </c>
    </row>
    <row r="72" spans="1:9" x14ac:dyDescent="0.25">
      <c r="A72" t="s">
        <v>526</v>
      </c>
      <c r="B72" t="s">
        <v>71</v>
      </c>
      <c r="C72" t="str" cm="1">
        <f t="array" ref="C72">_xlfn.CONCAT(Tableau4[[#This Row],[ETOILE]]," ",Tableau4[[#This Row],[CONST]])</f>
        <v>U VUL</v>
      </c>
      <c r="D72" s="14">
        <f>COUNTIF('ToM GEOS au fil de l''eau'!D10:D550,"U Vul")</f>
        <v>3</v>
      </c>
      <c r="I72" t="s">
        <v>760</v>
      </c>
    </row>
    <row r="73" spans="1:9" x14ac:dyDescent="0.25">
      <c r="C73" t="str" cm="1">
        <f t="array" ref="C73">_xlfn.CONCAT(Tableau4[[#This Row],[ETOILE]]," ",Tableau4[[#This Row],[CONST]])</f>
        <v xml:space="preserve"> </v>
      </c>
    </row>
    <row r="74" spans="1:9" x14ac:dyDescent="0.25">
      <c r="C74" t="str" cm="1">
        <f t="array" ref="C74">_xlfn.CONCAT(Tableau4[[#This Row],[ETOILE]]," ",Tableau4[[#This Row],[CONST]])</f>
        <v xml:space="preserve"> </v>
      </c>
    </row>
    <row r="75" spans="1:9" x14ac:dyDescent="0.25">
      <c r="C75" t="str" cm="1">
        <f t="array" ref="C75">_xlfn.CONCAT(Tableau4[[#This Row],[ETOILE]]," ",Tableau4[[#This Row],[CONST]])</f>
        <v xml:space="preserve"> </v>
      </c>
    </row>
    <row r="76" spans="1:9" x14ac:dyDescent="0.25">
      <c r="C76" t="str" cm="1">
        <f t="array" ref="C76">_xlfn.CONCAT(Tableau4[[#This Row],[ETOILE]]," ",Tableau4[[#This Row],[CONST]])</f>
        <v xml:space="preserve"> </v>
      </c>
    </row>
    <row r="77" spans="1:9" x14ac:dyDescent="0.25">
      <c r="C77" t="str" cm="1">
        <f t="array" ref="C77">_xlfn.CONCAT(Tableau4[[#This Row],[ETOILE]]," ",Tableau4[[#This Row],[CONST]])</f>
        <v xml:space="preserve"> </v>
      </c>
    </row>
    <row r="78" spans="1:9" x14ac:dyDescent="0.25">
      <c r="C78" t="str" cm="1">
        <f t="array" ref="C78">_xlfn.CONCAT(Tableau4[[#This Row],[ETOILE]]," ",Tableau4[[#This Row],[CONST]])</f>
        <v xml:space="preserve"> </v>
      </c>
    </row>
    <row r="79" spans="1:9" x14ac:dyDescent="0.25">
      <c r="C79" t="str" cm="1">
        <f t="array" ref="C79">_xlfn.CONCAT(Tableau4[[#This Row],[ETOILE]]," ",Tableau4[[#This Row],[CONST]])</f>
        <v xml:space="preserve"> </v>
      </c>
    </row>
    <row r="80" spans="1:9" x14ac:dyDescent="0.25">
      <c r="C80" t="str" cm="1">
        <f t="array" ref="C80">_xlfn.CONCAT(Tableau4[[#This Row],[ETOILE]]," ",Tableau4[[#This Row],[CONST]])</f>
        <v xml:space="preserve"> </v>
      </c>
    </row>
    <row r="81" spans="3:3" x14ac:dyDescent="0.25">
      <c r="C81" t="str" cm="1">
        <f t="array" ref="C81">_xlfn.CONCAT(Tableau4[[#This Row],[ETOILE]]," ",Tableau4[[#This Row],[CONST]])</f>
        <v xml:space="preserve"> </v>
      </c>
    </row>
    <row r="82" spans="3:3" x14ac:dyDescent="0.25">
      <c r="C82" t="str" cm="1">
        <f t="array" ref="C82">_xlfn.CONCAT(Tableau4[[#This Row],[ETOILE]]," ",Tableau4[[#This Row],[CONST]])</f>
        <v xml:space="preserve"> </v>
      </c>
    </row>
    <row r="83" spans="3:3" x14ac:dyDescent="0.25">
      <c r="C83" t="str" cm="1">
        <f t="array" ref="C83">_xlfn.CONCAT(Tableau4[[#This Row],[ETOILE]]," ",Tableau4[[#This Row],[CONST]])</f>
        <v xml:space="preserve"> </v>
      </c>
    </row>
    <row r="84" spans="3:3" x14ac:dyDescent="0.25">
      <c r="C84" t="str" cm="1">
        <f t="array" ref="C84">_xlfn.CONCAT(Tableau4[[#This Row],[ETOILE]]," ",Tableau4[[#This Row],[CONST]])</f>
        <v xml:space="preserve"> </v>
      </c>
    </row>
    <row r="85" spans="3:3" x14ac:dyDescent="0.25">
      <c r="C85" t="str" cm="1">
        <f t="array" ref="C85">_xlfn.CONCAT(Tableau4[[#This Row],[ETOILE]]," ",Tableau4[[#This Row],[CONST]])</f>
        <v xml:space="preserve"> </v>
      </c>
    </row>
    <row r="86" spans="3:3" x14ac:dyDescent="0.25">
      <c r="C86" t="str" cm="1">
        <f t="array" ref="C86">_xlfn.CONCAT(Tableau4[[#This Row],[ETOILE]]," ",Tableau4[[#This Row],[CONST]])</f>
        <v xml:space="preserve"> </v>
      </c>
    </row>
    <row r="87" spans="3:3" x14ac:dyDescent="0.25">
      <c r="C87" t="str" cm="1">
        <f t="array" ref="C87">_xlfn.CONCAT(Tableau4[[#This Row],[ETOILE]]," ",Tableau4[[#This Row],[CONST]])</f>
        <v xml:space="preserve"> </v>
      </c>
    </row>
    <row r="88" spans="3:3" x14ac:dyDescent="0.25">
      <c r="C88" t="str" cm="1">
        <f t="array" ref="C88">_xlfn.CONCAT(Tableau4[[#This Row],[ETOILE]]," ",Tableau4[[#This Row],[CONST]])</f>
        <v xml:space="preserve"> </v>
      </c>
    </row>
    <row r="89" spans="3:3" x14ac:dyDescent="0.25">
      <c r="C89" t="str" cm="1">
        <f t="array" ref="C89">_xlfn.CONCAT(Tableau4[[#This Row],[ETOILE]]," ",Tableau4[[#This Row],[CONST]])</f>
        <v xml:space="preserve"> </v>
      </c>
    </row>
    <row r="90" spans="3:3" x14ac:dyDescent="0.25">
      <c r="C90" t="str" cm="1">
        <f t="array" ref="C90">_xlfn.CONCAT(Tableau4[[#This Row],[ETOILE]]," ",Tableau4[[#This Row],[CONST]])</f>
        <v xml:space="preserve"> </v>
      </c>
    </row>
    <row r="91" spans="3:3" x14ac:dyDescent="0.25">
      <c r="C91" t="str" cm="1">
        <f t="array" ref="C91">_xlfn.CONCAT(Tableau4[[#This Row],[ETOILE]]," ",Tableau4[[#This Row],[CONST]])</f>
        <v xml:space="preserve"> </v>
      </c>
    </row>
    <row r="92" spans="3:3" x14ac:dyDescent="0.25">
      <c r="C92" t="str" cm="1">
        <f t="array" ref="C92">_xlfn.CONCAT(Tableau4[[#This Row],[ETOILE]]," ",Tableau4[[#This Row],[CONST]])</f>
        <v xml:space="preserve"> </v>
      </c>
    </row>
    <row r="93" spans="3:3" x14ac:dyDescent="0.25">
      <c r="C93" t="str" cm="1">
        <f t="array" ref="C93">_xlfn.CONCAT(Tableau4[[#This Row],[ETOILE]]," ",Tableau4[[#This Row],[CONST]])</f>
        <v xml:space="preserve"> </v>
      </c>
    </row>
    <row r="94" spans="3:3" x14ac:dyDescent="0.25">
      <c r="C94" t="str" cm="1">
        <f t="array" ref="C94">_xlfn.CONCAT(Tableau4[[#This Row],[ETOILE]]," ",Tableau4[[#This Row],[CONST]])</f>
        <v xml:space="preserve"> </v>
      </c>
    </row>
    <row r="95" spans="3:3" x14ac:dyDescent="0.25">
      <c r="C95" t="str" cm="1">
        <f t="array" ref="C95">_xlfn.CONCAT(Tableau4[[#This Row],[ETOILE]]," ",Tableau4[[#This Row],[CONST]])</f>
        <v xml:space="preserve"> </v>
      </c>
    </row>
    <row r="96" spans="3:3" x14ac:dyDescent="0.25">
      <c r="C96" t="str" cm="1">
        <f t="array" ref="C96">_xlfn.CONCAT(Tableau4[[#This Row],[ETOILE]]," ",Tableau4[[#This Row],[CONST]])</f>
        <v xml:space="preserve"> </v>
      </c>
    </row>
    <row r="97" spans="3:3" x14ac:dyDescent="0.25">
      <c r="C97" t="str" cm="1">
        <f t="array" ref="C97">_xlfn.CONCAT(Tableau4[[#This Row],[ETOILE]]," ",Tableau4[[#This Row],[CONST]])</f>
        <v xml:space="preserve"> </v>
      </c>
    </row>
    <row r="98" spans="3:3" x14ac:dyDescent="0.25">
      <c r="C98" t="str" cm="1">
        <f t="array" ref="C98">_xlfn.CONCAT(Tableau4[[#This Row],[ETOILE]]," ",Tableau4[[#This Row],[CONST]])</f>
        <v xml:space="preserve"> </v>
      </c>
    </row>
    <row r="99" spans="3:3" x14ac:dyDescent="0.25">
      <c r="C99" t="str" cm="1">
        <f t="array" ref="C99">_xlfn.CONCAT(Tableau4[[#This Row],[ETOILE]]," ",Tableau4[[#This Row],[CONST]])</f>
        <v xml:space="preserve"> </v>
      </c>
    </row>
    <row r="100" spans="3:3" x14ac:dyDescent="0.25">
      <c r="C100" t="str" cm="1">
        <f t="array" ref="C100">_xlfn.CONCAT(Tableau4[[#This Row],[ETOILE]]," ",Tableau4[[#This Row],[CONST]])</f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5DD8-8BA9-4DE3-9326-35B5F98B18E7}">
  <dimension ref="A1:M92"/>
  <sheetViews>
    <sheetView topLeftCell="D76" zoomScale="115" zoomScaleNormal="115" workbookViewId="0">
      <selection activeCell="I85" sqref="I85"/>
    </sheetView>
  </sheetViews>
  <sheetFormatPr baseColWidth="10" defaultColWidth="11.42578125" defaultRowHeight="15" x14ac:dyDescent="0.25"/>
  <cols>
    <col min="1" max="1" width="21" style="3" customWidth="1"/>
    <col min="2" max="2" width="13.85546875" customWidth="1"/>
    <col min="3" max="3" width="104.85546875" style="3" customWidth="1"/>
    <col min="4" max="4" width="15.85546875" style="3" customWidth="1"/>
    <col min="5" max="5" width="9.42578125" style="59" customWidth="1"/>
    <col min="6" max="6" width="17.140625" style="3" customWidth="1"/>
    <col min="7" max="7" width="32.85546875" style="3" customWidth="1"/>
    <col min="8" max="8" width="17.85546875" style="3" customWidth="1"/>
    <col min="9" max="9" width="21.28515625" style="3" customWidth="1"/>
    <col min="10" max="10" width="21" customWidth="1"/>
    <col min="12" max="13" width="11.5703125" customWidth="1"/>
  </cols>
  <sheetData>
    <row r="1" spans="1:13" ht="23.25" x14ac:dyDescent="0.35">
      <c r="A1" s="11" t="s">
        <v>314</v>
      </c>
      <c r="B1" s="1" t="s">
        <v>315</v>
      </c>
      <c r="C1" s="11" t="s">
        <v>316</v>
      </c>
      <c r="D1" s="64" t="s">
        <v>317</v>
      </c>
      <c r="E1" s="58"/>
      <c r="F1" s="48">
        <f>COUNT(B5:B90)</f>
        <v>80</v>
      </c>
    </row>
    <row r="2" spans="1:13" ht="23.25" x14ac:dyDescent="0.35">
      <c r="A2" s="11"/>
      <c r="B2" s="12" t="s">
        <v>318</v>
      </c>
      <c r="C2" s="47">
        <f ca="1">NOW()</f>
        <v>45781.861341319447</v>
      </c>
    </row>
    <row r="3" spans="1:13" x14ac:dyDescent="0.25">
      <c r="M3" s="9">
        <f>SUM(Tableau5[Colonne2])</f>
        <v>81</v>
      </c>
    </row>
    <row r="4" spans="1:13" x14ac:dyDescent="0.25">
      <c r="A4" s="2" t="s">
        <v>319</v>
      </c>
      <c r="B4" s="2" t="s">
        <v>320</v>
      </c>
      <c r="C4" s="2" t="s">
        <v>321</v>
      </c>
      <c r="D4" s="2" t="s">
        <v>322</v>
      </c>
      <c r="E4" s="60" t="s">
        <v>323</v>
      </c>
      <c r="F4" s="2" t="s">
        <v>324</v>
      </c>
      <c r="G4" s="2" t="s">
        <v>325</v>
      </c>
      <c r="H4" s="2" t="s">
        <v>326</v>
      </c>
      <c r="I4" s="4" t="s">
        <v>327</v>
      </c>
      <c r="J4" s="2" t="s">
        <v>328</v>
      </c>
      <c r="L4" t="s">
        <v>20</v>
      </c>
      <c r="M4" t="s">
        <v>9</v>
      </c>
    </row>
    <row r="5" spans="1:13" x14ac:dyDescent="0.25">
      <c r="A5" s="61" t="s">
        <v>329</v>
      </c>
      <c r="B5" s="62">
        <v>1974</v>
      </c>
      <c r="C5" s="61" t="s">
        <v>330</v>
      </c>
      <c r="D5" s="61" t="s">
        <v>165</v>
      </c>
      <c r="E5" s="62">
        <v>42</v>
      </c>
      <c r="F5" s="62" t="s">
        <v>26</v>
      </c>
      <c r="G5" s="63" t="s">
        <v>331</v>
      </c>
      <c r="H5" s="41"/>
      <c r="J5" s="14"/>
      <c r="L5" t="s">
        <v>709</v>
      </c>
      <c r="M5">
        <f>COUNTIFS(A5:A87,"Acerbi, F.")</f>
        <v>1</v>
      </c>
    </row>
    <row r="6" spans="1:13" x14ac:dyDescent="0.25">
      <c r="A6" s="61" t="s">
        <v>332</v>
      </c>
      <c r="B6" s="62">
        <v>1975</v>
      </c>
      <c r="C6" s="61" t="s">
        <v>330</v>
      </c>
      <c r="D6" s="61" t="s">
        <v>333</v>
      </c>
      <c r="E6" s="62">
        <v>118</v>
      </c>
      <c r="F6" s="62" t="s">
        <v>26</v>
      </c>
      <c r="G6" s="63" t="s">
        <v>331</v>
      </c>
      <c r="H6" s="41"/>
      <c r="J6" s="14"/>
      <c r="L6" t="s">
        <v>707</v>
      </c>
      <c r="M6">
        <v>1</v>
      </c>
    </row>
    <row r="7" spans="1:13" x14ac:dyDescent="0.25">
      <c r="A7" s="61" t="s">
        <v>329</v>
      </c>
      <c r="B7" s="62">
        <v>1976</v>
      </c>
      <c r="C7" s="61" t="s">
        <v>330</v>
      </c>
      <c r="D7" s="61" t="s">
        <v>334</v>
      </c>
      <c r="E7" s="62">
        <v>120</v>
      </c>
      <c r="F7" s="62" t="s">
        <v>26</v>
      </c>
      <c r="G7" s="63" t="s">
        <v>331</v>
      </c>
      <c r="H7" s="41"/>
      <c r="J7" s="14"/>
      <c r="L7" t="s">
        <v>710</v>
      </c>
      <c r="M7">
        <f>COUNTIFS(A5:A89,"Boninsegna, R.")</f>
        <v>1</v>
      </c>
    </row>
    <row r="8" spans="1:13" x14ac:dyDescent="0.25">
      <c r="A8" s="61" t="s">
        <v>329</v>
      </c>
      <c r="B8" s="62">
        <v>1976</v>
      </c>
      <c r="C8" s="61" t="s">
        <v>330</v>
      </c>
      <c r="D8" s="61" t="s">
        <v>335</v>
      </c>
      <c r="E8" s="62">
        <v>121</v>
      </c>
      <c r="F8" s="62" t="s">
        <v>26</v>
      </c>
      <c r="G8" s="63" t="s">
        <v>331</v>
      </c>
      <c r="H8" s="41"/>
      <c r="J8" s="14"/>
      <c r="L8" t="s">
        <v>81</v>
      </c>
      <c r="M8">
        <f>COUNTIFS(A5:A90,"Busquets, J.")</f>
        <v>8</v>
      </c>
    </row>
    <row r="9" spans="1:13" x14ac:dyDescent="0.25">
      <c r="A9" s="61" t="s">
        <v>329</v>
      </c>
      <c r="B9" s="62">
        <v>1976</v>
      </c>
      <c r="C9" s="61" t="s">
        <v>330</v>
      </c>
      <c r="D9" s="61" t="s">
        <v>336</v>
      </c>
      <c r="E9" s="62">
        <v>123</v>
      </c>
      <c r="F9" s="62" t="s">
        <v>26</v>
      </c>
      <c r="G9" s="63" t="s">
        <v>331</v>
      </c>
      <c r="H9" s="41"/>
      <c r="J9" s="14"/>
      <c r="L9" t="s">
        <v>255</v>
      </c>
      <c r="M9">
        <f>COUNTIFS(A8:A91,"Boistel, G.")</f>
        <v>14</v>
      </c>
    </row>
    <row r="10" spans="1:13" x14ac:dyDescent="0.25">
      <c r="A10" s="61" t="s">
        <v>329</v>
      </c>
      <c r="B10" s="62">
        <v>1976</v>
      </c>
      <c r="C10" s="61" t="s">
        <v>330</v>
      </c>
      <c r="D10" s="61" t="s">
        <v>36</v>
      </c>
      <c r="E10" s="62">
        <v>126</v>
      </c>
      <c r="F10" s="62" t="s">
        <v>26</v>
      </c>
      <c r="G10" s="63" t="s">
        <v>331</v>
      </c>
      <c r="H10" s="41"/>
      <c r="J10" s="14"/>
      <c r="L10" t="s">
        <v>711</v>
      </c>
      <c r="M10">
        <f>COUNTIFS(A6:A92,"Colombo, E.")</f>
        <v>1</v>
      </c>
    </row>
    <row r="11" spans="1:13" x14ac:dyDescent="0.25">
      <c r="A11" s="61" t="s">
        <v>329</v>
      </c>
      <c r="B11" s="62">
        <v>1976</v>
      </c>
      <c r="C11" s="61" t="s">
        <v>330</v>
      </c>
      <c r="D11" s="61" t="s">
        <v>147</v>
      </c>
      <c r="E11" s="62">
        <v>129</v>
      </c>
      <c r="F11" s="62" t="s">
        <v>26</v>
      </c>
      <c r="G11" s="63" t="s">
        <v>331</v>
      </c>
      <c r="H11" s="41"/>
      <c r="J11" s="14"/>
      <c r="L11" t="s">
        <v>712</v>
      </c>
      <c r="M11">
        <f>COUNTIFS(A7:A93,"Dalmazio, D.")</f>
        <v>17</v>
      </c>
    </row>
    <row r="12" spans="1:13" x14ac:dyDescent="0.25">
      <c r="A12" s="3" t="s">
        <v>329</v>
      </c>
      <c r="B12" s="14">
        <v>1976</v>
      </c>
      <c r="C12" s="3" t="s">
        <v>337</v>
      </c>
      <c r="D12" s="3" t="s">
        <v>261</v>
      </c>
      <c r="E12" s="14">
        <v>150</v>
      </c>
      <c r="F12" s="14" t="s">
        <v>26</v>
      </c>
      <c r="G12" s="3" t="s">
        <v>338</v>
      </c>
      <c r="H12" s="41"/>
      <c r="J12" s="14"/>
      <c r="L12" t="s">
        <v>713</v>
      </c>
      <c r="M12">
        <f>COUNTIFS(A7:A94,"Dumont, M.")</f>
        <v>16</v>
      </c>
    </row>
    <row r="13" spans="1:13" x14ac:dyDescent="0.25">
      <c r="A13" s="3" t="s">
        <v>329</v>
      </c>
      <c r="B13" s="14">
        <v>1977</v>
      </c>
      <c r="C13" s="3" t="s">
        <v>339</v>
      </c>
      <c r="D13" s="3" t="s">
        <v>41</v>
      </c>
      <c r="E13" s="14">
        <v>158</v>
      </c>
      <c r="F13" s="14" t="s">
        <v>26</v>
      </c>
      <c r="G13" s="3" t="s">
        <v>340</v>
      </c>
      <c r="H13" s="41"/>
      <c r="J13" s="14"/>
      <c r="L13" t="s">
        <v>706</v>
      </c>
      <c r="M13">
        <v>1</v>
      </c>
    </row>
    <row r="14" spans="1:13" x14ac:dyDescent="0.25">
      <c r="A14" s="3" t="s">
        <v>329</v>
      </c>
      <c r="B14" s="14">
        <v>1978</v>
      </c>
      <c r="C14" s="3" t="s">
        <v>341</v>
      </c>
      <c r="D14" s="3" t="s">
        <v>53</v>
      </c>
      <c r="E14" s="14">
        <v>181</v>
      </c>
      <c r="F14" s="14" t="s">
        <v>26</v>
      </c>
      <c r="G14" s="3" t="s">
        <v>342</v>
      </c>
      <c r="H14" s="41"/>
      <c r="J14" s="14"/>
      <c r="L14" t="s">
        <v>714</v>
      </c>
      <c r="M14">
        <f>COUNTIFS(A7:A96,"Figer, A.")</f>
        <v>10</v>
      </c>
    </row>
    <row r="15" spans="1:13" x14ac:dyDescent="0.25">
      <c r="A15" s="3" t="s">
        <v>329</v>
      </c>
      <c r="B15" s="14">
        <v>1978</v>
      </c>
      <c r="C15" s="3" t="s">
        <v>343</v>
      </c>
      <c r="D15" s="3" t="s">
        <v>238</v>
      </c>
      <c r="E15" s="14">
        <v>182</v>
      </c>
      <c r="F15" s="14" t="s">
        <v>26</v>
      </c>
      <c r="G15" s="3" t="s">
        <v>344</v>
      </c>
      <c r="H15" s="41"/>
      <c r="J15" s="14"/>
      <c r="L15" t="s">
        <v>715</v>
      </c>
      <c r="M15">
        <f>COUNTIFS(A4:A97,"Le Borgne, J.F.")</f>
        <v>1</v>
      </c>
    </row>
    <row r="16" spans="1:13" x14ac:dyDescent="0.25">
      <c r="A16" s="3" t="s">
        <v>345</v>
      </c>
      <c r="B16" s="14">
        <v>1979</v>
      </c>
      <c r="C16" s="3" t="s">
        <v>346</v>
      </c>
      <c r="D16" s="3" t="s">
        <v>347</v>
      </c>
      <c r="E16" s="14">
        <v>201</v>
      </c>
      <c r="F16" s="14" t="s">
        <v>26</v>
      </c>
      <c r="G16" s="3" t="s">
        <v>348</v>
      </c>
      <c r="H16" s="41"/>
      <c r="J16" s="14"/>
      <c r="L16" t="s">
        <v>716</v>
      </c>
      <c r="M16">
        <f>COUNTIFS(A8:A98,"Frangeul, M.")</f>
        <v>2</v>
      </c>
    </row>
    <row r="17" spans="1:13" x14ac:dyDescent="0.25">
      <c r="A17" s="3" t="s">
        <v>349</v>
      </c>
      <c r="B17" s="14">
        <v>1980</v>
      </c>
      <c r="C17" s="3" t="s">
        <v>350</v>
      </c>
      <c r="D17" s="3" t="s">
        <v>187</v>
      </c>
      <c r="E17" s="14">
        <v>254</v>
      </c>
      <c r="F17" s="14" t="s">
        <v>26</v>
      </c>
      <c r="G17" s="3" t="s">
        <v>351</v>
      </c>
      <c r="H17" s="41"/>
      <c r="J17" s="14"/>
      <c r="L17" t="s">
        <v>717</v>
      </c>
      <c r="M17">
        <f>COUNTIFS(A8:A99,"Gobet, F.")</f>
        <v>4</v>
      </c>
    </row>
    <row r="18" spans="1:13" x14ac:dyDescent="0.25">
      <c r="A18" s="3" t="s">
        <v>352</v>
      </c>
      <c r="B18" s="14">
        <v>1981</v>
      </c>
      <c r="C18" s="3" t="s">
        <v>353</v>
      </c>
      <c r="D18" s="3" t="s">
        <v>44</v>
      </c>
      <c r="E18" s="14">
        <v>270</v>
      </c>
      <c r="F18" s="14" t="s">
        <v>26</v>
      </c>
      <c r="G18" s="3" t="s">
        <v>354</v>
      </c>
      <c r="H18" s="41"/>
      <c r="J18" s="14"/>
      <c r="L18" t="s">
        <v>718</v>
      </c>
      <c r="M18">
        <f>COUNTIFS(A8:A100,"Kuchto, S.")</f>
        <v>1</v>
      </c>
    </row>
    <row r="19" spans="1:13" x14ac:dyDescent="0.25">
      <c r="A19" s="3" t="s">
        <v>352</v>
      </c>
      <c r="B19" s="14">
        <v>1981</v>
      </c>
      <c r="C19" s="3" t="s">
        <v>355</v>
      </c>
      <c r="D19" s="3" t="s">
        <v>148</v>
      </c>
      <c r="E19" s="14">
        <v>308</v>
      </c>
      <c r="F19" s="14" t="s">
        <v>26</v>
      </c>
      <c r="G19" s="3" t="s">
        <v>356</v>
      </c>
      <c r="H19" s="41"/>
      <c r="J19" s="14"/>
      <c r="L19" t="s">
        <v>705</v>
      </c>
      <c r="M19">
        <v>1</v>
      </c>
    </row>
    <row r="20" spans="1:13" x14ac:dyDescent="0.25">
      <c r="A20" s="3" t="s">
        <v>357</v>
      </c>
      <c r="B20" s="14">
        <v>1982</v>
      </c>
      <c r="C20" s="3" t="s">
        <v>358</v>
      </c>
      <c r="D20" s="3" t="s">
        <v>94</v>
      </c>
      <c r="E20" s="14">
        <v>322</v>
      </c>
      <c r="F20" s="14" t="s">
        <v>26</v>
      </c>
      <c r="G20" s="3" t="s">
        <v>359</v>
      </c>
      <c r="H20" s="41"/>
      <c r="J20" s="14"/>
      <c r="L20" t="s">
        <v>719</v>
      </c>
      <c r="M20">
        <f>COUNTIFS(A8:A102,"Vialle, J.")</f>
        <v>1</v>
      </c>
    </row>
    <row r="21" spans="1:13" x14ac:dyDescent="0.25">
      <c r="A21" s="3" t="s">
        <v>352</v>
      </c>
      <c r="B21" s="14">
        <v>1982</v>
      </c>
      <c r="C21" s="3" t="s">
        <v>360</v>
      </c>
      <c r="D21" s="3" t="s">
        <v>87</v>
      </c>
      <c r="E21" s="14">
        <v>338</v>
      </c>
      <c r="F21" s="14" t="s">
        <v>26</v>
      </c>
      <c r="G21" s="3" t="s">
        <v>359</v>
      </c>
      <c r="H21" s="41"/>
      <c r="J21" s="14"/>
      <c r="L21" t="s">
        <v>720</v>
      </c>
      <c r="M21">
        <f>COUNTIFS(A8:A103,"Wabnitz, S.")</f>
        <v>1</v>
      </c>
    </row>
    <row r="22" spans="1:13" x14ac:dyDescent="0.25">
      <c r="A22" s="3" t="s">
        <v>352</v>
      </c>
      <c r="B22" s="14">
        <v>1983</v>
      </c>
      <c r="C22" s="3" t="s">
        <v>361</v>
      </c>
      <c r="D22" s="3" t="s">
        <v>174</v>
      </c>
      <c r="E22" s="14">
        <v>349</v>
      </c>
      <c r="F22" s="14" t="s">
        <v>26</v>
      </c>
      <c r="G22" s="3" t="s">
        <v>362</v>
      </c>
      <c r="H22" s="41"/>
      <c r="J22" s="14"/>
    </row>
    <row r="23" spans="1:13" x14ac:dyDescent="0.25">
      <c r="A23" s="3" t="s">
        <v>352</v>
      </c>
      <c r="B23" s="14">
        <v>1983</v>
      </c>
      <c r="C23" s="3" t="s">
        <v>363</v>
      </c>
      <c r="D23" s="3" t="s">
        <v>209</v>
      </c>
      <c r="E23" s="14">
        <v>376</v>
      </c>
      <c r="F23" s="14" t="s">
        <v>26</v>
      </c>
      <c r="G23" s="3" t="s">
        <v>364</v>
      </c>
      <c r="H23" s="41"/>
      <c r="J23" s="14"/>
    </row>
    <row r="24" spans="1:13" x14ac:dyDescent="0.25">
      <c r="A24" s="3" t="s">
        <v>352</v>
      </c>
      <c r="B24" s="14">
        <v>1983</v>
      </c>
      <c r="C24" s="3" t="s">
        <v>365</v>
      </c>
      <c r="D24" s="3" t="s">
        <v>235</v>
      </c>
      <c r="E24" s="14">
        <v>388</v>
      </c>
      <c r="F24" s="14" t="s">
        <v>26</v>
      </c>
      <c r="G24" s="3" t="s">
        <v>366</v>
      </c>
      <c r="H24" s="41"/>
      <c r="J24" s="14"/>
    </row>
    <row r="25" spans="1:13" x14ac:dyDescent="0.25">
      <c r="A25" s="3" t="s">
        <v>370</v>
      </c>
      <c r="B25" s="14">
        <v>1984</v>
      </c>
      <c r="C25" s="3" t="s">
        <v>371</v>
      </c>
      <c r="D25" s="3" t="s">
        <v>372</v>
      </c>
      <c r="E25" s="14">
        <v>434</v>
      </c>
      <c r="F25" s="14" t="s">
        <v>26</v>
      </c>
      <c r="G25" s="3" t="s">
        <v>369</v>
      </c>
      <c r="H25" s="41"/>
      <c r="J25" s="14"/>
    </row>
    <row r="26" spans="1:13" x14ac:dyDescent="0.25">
      <c r="A26" s="3" t="s">
        <v>329</v>
      </c>
      <c r="B26" s="14">
        <v>1984</v>
      </c>
      <c r="C26" s="3" t="s">
        <v>367</v>
      </c>
      <c r="D26" s="3" t="s">
        <v>368</v>
      </c>
      <c r="E26" s="14">
        <v>403</v>
      </c>
      <c r="F26" s="14" t="s">
        <v>26</v>
      </c>
      <c r="G26" s="3" t="s">
        <v>369</v>
      </c>
      <c r="H26" s="41"/>
      <c r="J26" s="14"/>
    </row>
    <row r="27" spans="1:13" x14ac:dyDescent="0.25">
      <c r="A27" s="40" t="s">
        <v>352</v>
      </c>
      <c r="B27" s="16">
        <v>1986</v>
      </c>
      <c r="C27" s="40" t="s">
        <v>464</v>
      </c>
      <c r="D27" s="40" t="s">
        <v>465</v>
      </c>
      <c r="E27" s="16" t="s">
        <v>466</v>
      </c>
      <c r="F27" s="16" t="s">
        <v>26</v>
      </c>
      <c r="G27" s="40" t="s">
        <v>467</v>
      </c>
      <c r="H27" s="41"/>
      <c r="J27" s="14"/>
    </row>
    <row r="28" spans="1:13" x14ac:dyDescent="0.25">
      <c r="A28" s="3" t="s">
        <v>373</v>
      </c>
      <c r="B28" s="14">
        <v>1989</v>
      </c>
      <c r="C28" s="3" t="s">
        <v>374</v>
      </c>
      <c r="D28" s="3" t="s">
        <v>114</v>
      </c>
      <c r="E28" s="14">
        <v>590</v>
      </c>
      <c r="F28" s="14" t="s">
        <v>26</v>
      </c>
      <c r="G28" s="3" t="s">
        <v>359</v>
      </c>
      <c r="H28" s="41"/>
      <c r="J28" s="14"/>
    </row>
    <row r="29" spans="1:13" x14ac:dyDescent="0.25">
      <c r="A29" s="3" t="s">
        <v>376</v>
      </c>
      <c r="B29" s="14">
        <v>1990</v>
      </c>
      <c r="C29" s="3" t="s">
        <v>377</v>
      </c>
      <c r="D29" s="3" t="s">
        <v>160</v>
      </c>
      <c r="E29" s="14">
        <v>607</v>
      </c>
      <c r="F29" s="14" t="s">
        <v>26</v>
      </c>
      <c r="G29" s="3" t="s">
        <v>378</v>
      </c>
      <c r="H29" s="41"/>
      <c r="J29" s="14"/>
    </row>
    <row r="30" spans="1:13" x14ac:dyDescent="0.25">
      <c r="A30" s="3" t="s">
        <v>352</v>
      </c>
      <c r="B30" s="14">
        <v>1990</v>
      </c>
      <c r="C30" s="3" t="s">
        <v>366</v>
      </c>
      <c r="D30" s="3" t="s">
        <v>233</v>
      </c>
      <c r="E30" s="14">
        <v>604</v>
      </c>
      <c r="F30" s="14" t="s">
        <v>26</v>
      </c>
      <c r="G30" s="3" t="s">
        <v>375</v>
      </c>
      <c r="H30" s="41"/>
      <c r="J30" s="14"/>
    </row>
    <row r="31" spans="1:13" x14ac:dyDescent="0.25">
      <c r="A31" s="3" t="s">
        <v>379</v>
      </c>
      <c r="B31" s="14">
        <v>1990</v>
      </c>
      <c r="C31" s="3" t="s">
        <v>380</v>
      </c>
      <c r="D31" s="3" t="s">
        <v>119</v>
      </c>
      <c r="E31" s="14">
        <v>626</v>
      </c>
      <c r="F31" s="14" t="s">
        <v>26</v>
      </c>
      <c r="G31" s="3" t="s">
        <v>359</v>
      </c>
      <c r="H31" s="41"/>
      <c r="J31" s="14" t="s">
        <v>702</v>
      </c>
    </row>
    <row r="32" spans="1:13" x14ac:dyDescent="0.25">
      <c r="A32" s="3" t="s">
        <v>376</v>
      </c>
      <c r="B32" s="14">
        <v>1991</v>
      </c>
      <c r="C32" s="3" t="s">
        <v>381</v>
      </c>
      <c r="D32" s="3" t="s">
        <v>28</v>
      </c>
      <c r="E32" s="14">
        <v>651</v>
      </c>
      <c r="F32" s="14" t="s">
        <v>26</v>
      </c>
      <c r="G32" s="3" t="s">
        <v>382</v>
      </c>
      <c r="H32" s="41"/>
      <c r="J32" s="14"/>
    </row>
    <row r="33" spans="1:10" x14ac:dyDescent="0.25">
      <c r="A33" s="3" t="s">
        <v>370</v>
      </c>
      <c r="B33" s="14">
        <v>1991</v>
      </c>
      <c r="C33" s="3" t="s">
        <v>383</v>
      </c>
      <c r="D33" s="3" t="s">
        <v>384</v>
      </c>
      <c r="E33" s="14">
        <v>654</v>
      </c>
      <c r="F33" s="14" t="s">
        <v>26</v>
      </c>
      <c r="G33" s="3" t="s">
        <v>369</v>
      </c>
      <c r="H33" s="41"/>
      <c r="J33" s="14"/>
    </row>
    <row r="34" spans="1:10" x14ac:dyDescent="0.25">
      <c r="A34" s="3" t="s">
        <v>385</v>
      </c>
      <c r="B34" s="14">
        <v>1992</v>
      </c>
      <c r="C34" s="3" t="s">
        <v>386</v>
      </c>
      <c r="D34" s="3" t="s">
        <v>387</v>
      </c>
      <c r="E34" s="14">
        <v>681</v>
      </c>
      <c r="F34" s="14" t="s">
        <v>26</v>
      </c>
      <c r="G34" s="3" t="s">
        <v>359</v>
      </c>
      <c r="H34" s="41" t="s">
        <v>388</v>
      </c>
      <c r="J34" s="14"/>
    </row>
    <row r="35" spans="1:10" x14ac:dyDescent="0.25">
      <c r="A35" s="3" t="s">
        <v>385</v>
      </c>
      <c r="B35" s="14">
        <v>1992</v>
      </c>
      <c r="C35" s="3" t="s">
        <v>390</v>
      </c>
      <c r="D35" s="3" t="s">
        <v>391</v>
      </c>
      <c r="E35" s="14">
        <v>703</v>
      </c>
      <c r="F35" s="14" t="s">
        <v>26</v>
      </c>
      <c r="G35" s="3" t="s">
        <v>392</v>
      </c>
      <c r="H35" s="41"/>
      <c r="J35" s="14"/>
    </row>
    <row r="36" spans="1:10" x14ac:dyDescent="0.25">
      <c r="A36" s="3" t="s">
        <v>373</v>
      </c>
      <c r="B36" s="14">
        <v>1992</v>
      </c>
      <c r="C36" s="3" t="s">
        <v>389</v>
      </c>
      <c r="D36" s="3" t="s">
        <v>105</v>
      </c>
      <c r="E36" s="14">
        <v>688</v>
      </c>
      <c r="F36" s="14" t="s">
        <v>26</v>
      </c>
      <c r="G36" s="3" t="s">
        <v>359</v>
      </c>
      <c r="H36" s="41"/>
      <c r="J36" s="14"/>
    </row>
    <row r="37" spans="1:10" x14ac:dyDescent="0.25">
      <c r="A37" s="3" t="s">
        <v>701</v>
      </c>
      <c r="B37" s="14">
        <v>1993</v>
      </c>
      <c r="C37" s="3" t="s">
        <v>393</v>
      </c>
      <c r="D37" s="3" t="s">
        <v>394</v>
      </c>
      <c r="E37" s="14">
        <v>705</v>
      </c>
      <c r="F37" s="14" t="s">
        <v>26</v>
      </c>
      <c r="G37" s="3" t="s">
        <v>351</v>
      </c>
      <c r="H37" s="41"/>
      <c r="J37" s="14" t="s">
        <v>708</v>
      </c>
    </row>
    <row r="38" spans="1:10" x14ac:dyDescent="0.25">
      <c r="A38" s="3" t="s">
        <v>395</v>
      </c>
      <c r="B38" s="14">
        <v>1997</v>
      </c>
      <c r="C38" s="3" t="s">
        <v>396</v>
      </c>
      <c r="D38" s="3" t="s">
        <v>267</v>
      </c>
      <c r="E38" s="14">
        <v>828</v>
      </c>
      <c r="F38" s="14" t="s">
        <v>26</v>
      </c>
      <c r="G38" s="3" t="s">
        <v>392</v>
      </c>
      <c r="H38" s="41"/>
      <c r="J38" s="14"/>
    </row>
    <row r="39" spans="1:10" x14ac:dyDescent="0.25">
      <c r="A39" s="3" t="s">
        <v>395</v>
      </c>
      <c r="B39" s="14">
        <v>1997</v>
      </c>
      <c r="C39" s="3" t="s">
        <v>397</v>
      </c>
      <c r="D39" s="3" t="s">
        <v>227</v>
      </c>
      <c r="E39" s="14">
        <v>829</v>
      </c>
      <c r="F39" s="14" t="s">
        <v>26</v>
      </c>
      <c r="G39" s="3" t="s">
        <v>398</v>
      </c>
      <c r="H39" s="41"/>
      <c r="J39" s="14"/>
    </row>
    <row r="40" spans="1:10" x14ac:dyDescent="0.25">
      <c r="A40" s="3" t="s">
        <v>395</v>
      </c>
      <c r="B40" s="14">
        <v>1997</v>
      </c>
      <c r="C40" s="3" t="s">
        <v>399</v>
      </c>
      <c r="D40" s="3" t="s">
        <v>258</v>
      </c>
      <c r="E40" s="14">
        <v>832</v>
      </c>
      <c r="F40" s="14" t="s">
        <v>26</v>
      </c>
      <c r="G40" s="3" t="s">
        <v>400</v>
      </c>
      <c r="H40" s="41"/>
      <c r="J40" s="14"/>
    </row>
    <row r="41" spans="1:10" x14ac:dyDescent="0.25">
      <c r="A41" s="3" t="s">
        <v>395</v>
      </c>
      <c r="B41" s="14">
        <v>1997</v>
      </c>
      <c r="C41" s="3" t="s">
        <v>402</v>
      </c>
      <c r="D41" s="3" t="s">
        <v>248</v>
      </c>
      <c r="E41" s="14">
        <v>835</v>
      </c>
      <c r="F41" s="14" t="s">
        <v>26</v>
      </c>
      <c r="G41" s="3" t="s">
        <v>403</v>
      </c>
      <c r="H41" s="41"/>
      <c r="J41" s="14"/>
    </row>
    <row r="42" spans="1:10" x14ac:dyDescent="0.25">
      <c r="A42" s="3" t="s">
        <v>395</v>
      </c>
      <c r="B42" s="14">
        <v>1997</v>
      </c>
      <c r="C42" s="3" t="s">
        <v>404</v>
      </c>
      <c r="D42" s="3" t="s">
        <v>73</v>
      </c>
      <c r="E42" s="14">
        <v>842</v>
      </c>
      <c r="F42" s="14" t="s">
        <v>26</v>
      </c>
      <c r="G42" s="3" t="s">
        <v>405</v>
      </c>
      <c r="H42" s="41"/>
      <c r="J42" s="14"/>
    </row>
    <row r="43" spans="1:10" x14ac:dyDescent="0.25">
      <c r="A43" s="3" t="s">
        <v>395</v>
      </c>
      <c r="B43" s="14">
        <v>1997</v>
      </c>
      <c r="C43" s="3" t="s">
        <v>406</v>
      </c>
      <c r="D43" s="3" t="s">
        <v>58</v>
      </c>
      <c r="E43" s="14">
        <v>843</v>
      </c>
      <c r="F43" s="14" t="s">
        <v>26</v>
      </c>
      <c r="G43" s="3" t="s">
        <v>407</v>
      </c>
      <c r="H43" s="41"/>
      <c r="J43" s="14"/>
    </row>
    <row r="44" spans="1:10" x14ac:dyDescent="0.25">
      <c r="A44" s="3" t="s">
        <v>395</v>
      </c>
      <c r="B44" s="14">
        <v>1997</v>
      </c>
      <c r="C44" s="3" t="s">
        <v>408</v>
      </c>
      <c r="D44" s="3" t="s">
        <v>190</v>
      </c>
      <c r="E44" s="14">
        <v>844</v>
      </c>
      <c r="F44" s="14" t="s">
        <v>26</v>
      </c>
      <c r="G44" s="3" t="s">
        <v>351</v>
      </c>
      <c r="H44" s="41"/>
      <c r="J44" s="14"/>
    </row>
    <row r="45" spans="1:10" x14ac:dyDescent="0.25">
      <c r="A45" s="3" t="s">
        <v>395</v>
      </c>
      <c r="B45" s="14">
        <v>1997</v>
      </c>
      <c r="C45" s="3" t="s">
        <v>409</v>
      </c>
      <c r="D45" s="3" t="s">
        <v>59</v>
      </c>
      <c r="E45" s="14">
        <v>846</v>
      </c>
      <c r="F45" s="14" t="s">
        <v>26</v>
      </c>
      <c r="G45" s="3" t="s">
        <v>410</v>
      </c>
      <c r="H45" s="41"/>
      <c r="J45" s="14"/>
    </row>
    <row r="46" spans="1:10" x14ac:dyDescent="0.25">
      <c r="A46" s="3" t="s">
        <v>395</v>
      </c>
      <c r="B46" s="14">
        <v>1997</v>
      </c>
      <c r="C46" s="3" t="s">
        <v>409</v>
      </c>
      <c r="D46" s="3" t="s">
        <v>150</v>
      </c>
      <c r="E46" s="14">
        <v>851</v>
      </c>
      <c r="F46" s="14" t="s">
        <v>26</v>
      </c>
      <c r="G46" s="3" t="s">
        <v>411</v>
      </c>
      <c r="H46" s="41"/>
      <c r="J46" s="14"/>
    </row>
    <row r="47" spans="1:10" x14ac:dyDescent="0.25">
      <c r="A47" s="3" t="s">
        <v>395</v>
      </c>
      <c r="B47" s="14">
        <v>1997</v>
      </c>
      <c r="C47" s="3" t="s">
        <v>409</v>
      </c>
      <c r="D47" s="3" t="s">
        <v>191</v>
      </c>
      <c r="E47" s="14">
        <v>854</v>
      </c>
      <c r="F47" s="14" t="s">
        <v>26</v>
      </c>
      <c r="G47" s="3" t="s">
        <v>412</v>
      </c>
      <c r="H47" s="41"/>
      <c r="J47" s="14"/>
    </row>
    <row r="48" spans="1:10" x14ac:dyDescent="0.25">
      <c r="A48" s="3" t="s">
        <v>401</v>
      </c>
      <c r="B48" s="14">
        <v>1997</v>
      </c>
      <c r="C48" s="3" t="s">
        <v>396</v>
      </c>
      <c r="D48" s="3" t="s">
        <v>265</v>
      </c>
      <c r="E48" s="14">
        <v>833</v>
      </c>
      <c r="F48" s="14" t="s">
        <v>26</v>
      </c>
      <c r="G48" s="3" t="s">
        <v>392</v>
      </c>
      <c r="H48" s="41"/>
      <c r="J48" s="14"/>
    </row>
    <row r="49" spans="1:10" x14ac:dyDescent="0.25">
      <c r="A49" s="3" t="s">
        <v>395</v>
      </c>
      <c r="B49" s="14">
        <v>1998</v>
      </c>
      <c r="C49" s="3" t="s">
        <v>409</v>
      </c>
      <c r="D49" s="3" t="s">
        <v>60</v>
      </c>
      <c r="E49" s="14">
        <v>856</v>
      </c>
      <c r="F49" s="14" t="s">
        <v>26</v>
      </c>
      <c r="G49" s="3" t="s">
        <v>413</v>
      </c>
      <c r="H49" s="41"/>
      <c r="J49" s="14"/>
    </row>
    <row r="50" spans="1:10" x14ac:dyDescent="0.25">
      <c r="A50" s="3" t="s">
        <v>395</v>
      </c>
      <c r="B50" s="14">
        <v>1998</v>
      </c>
      <c r="C50" s="3" t="s">
        <v>409</v>
      </c>
      <c r="D50" s="3" t="s">
        <v>64</v>
      </c>
      <c r="E50" s="14">
        <v>861</v>
      </c>
      <c r="F50" s="14" t="s">
        <v>26</v>
      </c>
      <c r="G50" s="3" t="s">
        <v>414</v>
      </c>
      <c r="H50" s="41"/>
      <c r="J50" s="14"/>
    </row>
    <row r="51" spans="1:10" x14ac:dyDescent="0.25">
      <c r="A51" s="3" t="s">
        <v>395</v>
      </c>
      <c r="B51" s="14">
        <v>1998</v>
      </c>
      <c r="C51" s="3" t="s">
        <v>409</v>
      </c>
      <c r="D51" s="3" t="s">
        <v>50</v>
      </c>
      <c r="E51" s="14">
        <v>866</v>
      </c>
      <c r="F51" s="14" t="s">
        <v>26</v>
      </c>
      <c r="G51" s="3" t="s">
        <v>415</v>
      </c>
      <c r="H51" s="41"/>
      <c r="J51" s="14"/>
    </row>
    <row r="52" spans="1:10" x14ac:dyDescent="0.25">
      <c r="A52" s="3" t="s">
        <v>395</v>
      </c>
      <c r="B52" s="14">
        <v>1998</v>
      </c>
      <c r="C52" s="3" t="s">
        <v>409</v>
      </c>
      <c r="D52" s="3" t="s">
        <v>157</v>
      </c>
      <c r="E52" s="14">
        <v>871</v>
      </c>
      <c r="F52" s="14" t="s">
        <v>26</v>
      </c>
      <c r="G52" s="3" t="s">
        <v>416</v>
      </c>
      <c r="H52" s="41"/>
      <c r="J52" s="14"/>
    </row>
    <row r="53" spans="1:10" x14ac:dyDescent="0.25">
      <c r="A53" s="3" t="s">
        <v>395</v>
      </c>
      <c r="B53" s="14">
        <v>1998</v>
      </c>
      <c r="C53" s="3" t="s">
        <v>409</v>
      </c>
      <c r="D53" s="3" t="s">
        <v>176</v>
      </c>
      <c r="E53" s="14">
        <v>875</v>
      </c>
      <c r="F53" s="14" t="s">
        <v>26</v>
      </c>
      <c r="G53" s="3" t="s">
        <v>417</v>
      </c>
      <c r="H53" s="41"/>
      <c r="J53" s="14"/>
    </row>
    <row r="54" spans="1:10" x14ac:dyDescent="0.25">
      <c r="A54" s="3" t="s">
        <v>395</v>
      </c>
      <c r="B54" s="14">
        <v>1999</v>
      </c>
      <c r="C54" s="3" t="s">
        <v>409</v>
      </c>
      <c r="D54" s="3" t="s">
        <v>107</v>
      </c>
      <c r="E54" s="14">
        <v>883</v>
      </c>
      <c r="F54" s="14" t="s">
        <v>26</v>
      </c>
      <c r="G54" s="3" t="s">
        <v>418</v>
      </c>
      <c r="H54" s="41"/>
      <c r="J54" s="14"/>
    </row>
    <row r="55" spans="1:10" x14ac:dyDescent="0.25">
      <c r="A55" s="3" t="s">
        <v>370</v>
      </c>
      <c r="B55" s="14">
        <v>1999</v>
      </c>
      <c r="C55" s="3" t="s">
        <v>419</v>
      </c>
      <c r="D55" s="3" t="s">
        <v>133</v>
      </c>
      <c r="E55" s="14">
        <v>886</v>
      </c>
      <c r="F55" s="14" t="s">
        <v>26</v>
      </c>
      <c r="G55" s="3" t="s">
        <v>420</v>
      </c>
      <c r="H55" s="41"/>
      <c r="J55" s="14"/>
    </row>
    <row r="56" spans="1:10" x14ac:dyDescent="0.25">
      <c r="A56" s="3" t="s">
        <v>395</v>
      </c>
      <c r="B56" s="14">
        <v>2000</v>
      </c>
      <c r="C56" s="3" t="s">
        <v>409</v>
      </c>
      <c r="D56" s="3" t="s">
        <v>189</v>
      </c>
      <c r="E56" s="14">
        <v>921</v>
      </c>
      <c r="F56" s="14" t="s">
        <v>26</v>
      </c>
      <c r="G56" s="3" t="s">
        <v>424</v>
      </c>
      <c r="H56" s="41"/>
      <c r="J56" s="14"/>
    </row>
    <row r="57" spans="1:10" x14ac:dyDescent="0.25">
      <c r="A57" s="3" t="s">
        <v>370</v>
      </c>
      <c r="B57" s="14">
        <v>2000</v>
      </c>
      <c r="C57" s="3" t="s">
        <v>421</v>
      </c>
      <c r="D57" s="3" t="s">
        <v>422</v>
      </c>
      <c r="E57" s="14">
        <v>910</v>
      </c>
      <c r="F57" s="14" t="s">
        <v>26</v>
      </c>
      <c r="G57" s="3" t="s">
        <v>423</v>
      </c>
      <c r="H57" s="41"/>
      <c r="J57" s="14"/>
    </row>
    <row r="58" spans="1:10" x14ac:dyDescent="0.25">
      <c r="A58" s="3" t="s">
        <v>370</v>
      </c>
      <c r="B58" s="14">
        <v>2001</v>
      </c>
      <c r="C58" s="3" t="s">
        <v>425</v>
      </c>
      <c r="D58" s="3" t="s">
        <v>426</v>
      </c>
      <c r="E58" s="14">
        <v>943</v>
      </c>
      <c r="F58" s="14" t="s">
        <v>26</v>
      </c>
      <c r="G58" s="3" t="s">
        <v>423</v>
      </c>
      <c r="H58" s="41"/>
      <c r="J58" s="14"/>
    </row>
    <row r="59" spans="1:10" x14ac:dyDescent="0.25">
      <c r="A59" s="3" t="s">
        <v>370</v>
      </c>
      <c r="B59" s="14">
        <v>2002</v>
      </c>
      <c r="C59" s="3" t="s">
        <v>427</v>
      </c>
      <c r="D59" s="3" t="s">
        <v>428</v>
      </c>
      <c r="E59" s="14">
        <v>971</v>
      </c>
      <c r="F59" s="14" t="s">
        <v>26</v>
      </c>
      <c r="G59" s="3" t="s">
        <v>429</v>
      </c>
      <c r="H59" s="41"/>
      <c r="J59" s="14"/>
    </row>
    <row r="60" spans="1:10" x14ac:dyDescent="0.25">
      <c r="A60" s="3" t="s">
        <v>370</v>
      </c>
      <c r="B60" s="14">
        <v>2005</v>
      </c>
      <c r="C60" s="3" t="s">
        <v>430</v>
      </c>
      <c r="D60" s="3" t="s">
        <v>244</v>
      </c>
      <c r="E60" s="14">
        <v>1026</v>
      </c>
      <c r="F60" s="14" t="s">
        <v>26</v>
      </c>
      <c r="G60" s="3" t="s">
        <v>431</v>
      </c>
      <c r="H60" s="41"/>
      <c r="J60" s="14"/>
    </row>
    <row r="61" spans="1:10" x14ac:dyDescent="0.25">
      <c r="A61" s="3" t="s">
        <v>373</v>
      </c>
      <c r="B61" s="14">
        <v>2007</v>
      </c>
      <c r="C61" s="3" t="s">
        <v>432</v>
      </c>
      <c r="D61" s="3" t="s">
        <v>140</v>
      </c>
      <c r="E61" s="14">
        <v>1071</v>
      </c>
      <c r="F61" s="14" t="s">
        <v>26</v>
      </c>
      <c r="G61" s="3" t="s">
        <v>433</v>
      </c>
      <c r="H61" s="41"/>
      <c r="J61" s="14"/>
    </row>
    <row r="62" spans="1:10" x14ac:dyDescent="0.25">
      <c r="A62" s="3" t="s">
        <v>373</v>
      </c>
      <c r="B62" s="14">
        <v>2007</v>
      </c>
      <c r="C62" s="3" t="s">
        <v>434</v>
      </c>
      <c r="D62" s="3" t="s">
        <v>127</v>
      </c>
      <c r="E62" s="14">
        <v>1079</v>
      </c>
      <c r="F62" s="14" t="s">
        <v>26</v>
      </c>
      <c r="G62" s="3" t="s">
        <v>435</v>
      </c>
      <c r="H62" s="41"/>
      <c r="J62" s="14"/>
    </row>
    <row r="63" spans="1:10" x14ac:dyDescent="0.25">
      <c r="A63" s="40" t="s">
        <v>704</v>
      </c>
      <c r="B63" s="16">
        <v>2014</v>
      </c>
      <c r="C63" s="40" t="s">
        <v>468</v>
      </c>
      <c r="D63" s="66" t="s">
        <v>469</v>
      </c>
      <c r="E63" s="65" t="s">
        <v>470</v>
      </c>
      <c r="F63" s="16" t="s">
        <v>471</v>
      </c>
      <c r="G63" s="40" t="s">
        <v>472</v>
      </c>
      <c r="H63" s="41"/>
      <c r="J63" s="14" t="s">
        <v>703</v>
      </c>
    </row>
    <row r="64" spans="1:10" x14ac:dyDescent="0.25">
      <c r="A64" s="3" t="s">
        <v>370</v>
      </c>
      <c r="B64" s="14">
        <v>2015</v>
      </c>
      <c r="C64" s="3" t="s">
        <v>436</v>
      </c>
      <c r="D64" s="3" t="s">
        <v>437</v>
      </c>
      <c r="E64" s="14">
        <v>1188</v>
      </c>
      <c r="F64" s="14" t="s">
        <v>26</v>
      </c>
      <c r="G64" s="3" t="s">
        <v>438</v>
      </c>
      <c r="H64" s="41"/>
      <c r="J64" s="14"/>
    </row>
    <row r="65" spans="1:10" x14ac:dyDescent="0.25">
      <c r="A65" s="3" t="s">
        <v>370</v>
      </c>
      <c r="B65" s="14">
        <v>2018</v>
      </c>
      <c r="C65" s="3" t="s">
        <v>439</v>
      </c>
      <c r="D65" s="3" t="s">
        <v>440</v>
      </c>
      <c r="E65" s="14">
        <v>1232</v>
      </c>
      <c r="F65" s="14" t="s">
        <v>26</v>
      </c>
      <c r="G65" s="3" t="s">
        <v>439</v>
      </c>
      <c r="H65" s="41"/>
      <c r="J65" s="14"/>
    </row>
    <row r="66" spans="1:10" x14ac:dyDescent="0.25">
      <c r="A66" s="3" t="s">
        <v>370</v>
      </c>
      <c r="B66" s="14">
        <v>2018</v>
      </c>
      <c r="C66" s="3" t="s">
        <v>407</v>
      </c>
      <c r="D66" s="3" t="s">
        <v>441</v>
      </c>
      <c r="E66" s="14">
        <v>1248</v>
      </c>
      <c r="F66" s="14" t="s">
        <v>26</v>
      </c>
      <c r="G66" s="3" t="s">
        <v>407</v>
      </c>
      <c r="H66" s="41"/>
      <c r="J66" s="14"/>
    </row>
    <row r="67" spans="1:10" x14ac:dyDescent="0.25">
      <c r="A67" s="3" t="s">
        <v>370</v>
      </c>
      <c r="B67" s="14">
        <v>2018</v>
      </c>
      <c r="C67" s="3" t="s">
        <v>442</v>
      </c>
      <c r="D67" s="3" t="s">
        <v>443</v>
      </c>
      <c r="E67" s="14">
        <v>1251</v>
      </c>
      <c r="F67" s="14" t="s">
        <v>26</v>
      </c>
      <c r="G67" s="3" t="s">
        <v>444</v>
      </c>
      <c r="H67" s="41"/>
      <c r="J67" s="14"/>
    </row>
    <row r="68" spans="1:10" x14ac:dyDescent="0.25">
      <c r="A68" s="3" t="s">
        <v>370</v>
      </c>
      <c r="B68" s="14">
        <v>2019</v>
      </c>
      <c r="C68" s="3" t="s">
        <v>423</v>
      </c>
      <c r="D68" s="3" t="s">
        <v>445</v>
      </c>
      <c r="E68" s="14">
        <v>1252</v>
      </c>
      <c r="F68" s="14" t="s">
        <v>26</v>
      </c>
      <c r="G68" s="3" t="s">
        <v>423</v>
      </c>
      <c r="H68" s="41"/>
      <c r="J68" s="14"/>
    </row>
    <row r="69" spans="1:10" x14ac:dyDescent="0.25">
      <c r="A69" s="3" t="s">
        <v>370</v>
      </c>
      <c r="B69" s="14">
        <v>2019</v>
      </c>
      <c r="C69" s="3" t="s">
        <v>420</v>
      </c>
      <c r="D69" s="3" t="s">
        <v>446</v>
      </c>
      <c r="E69" s="14">
        <v>1256</v>
      </c>
      <c r="F69" s="14" t="s">
        <v>26</v>
      </c>
      <c r="G69" s="3" t="s">
        <v>420</v>
      </c>
      <c r="H69" s="41"/>
      <c r="J69" s="14"/>
    </row>
    <row r="70" spans="1:10" x14ac:dyDescent="0.25">
      <c r="A70" s="3" t="s">
        <v>370</v>
      </c>
      <c r="B70" s="14">
        <v>2021</v>
      </c>
      <c r="C70" s="3" t="s">
        <v>400</v>
      </c>
      <c r="D70" s="3" t="s">
        <v>447</v>
      </c>
      <c r="E70" s="14">
        <v>1290</v>
      </c>
      <c r="F70" s="14" t="s">
        <v>26</v>
      </c>
      <c r="G70" s="3" t="s">
        <v>400</v>
      </c>
      <c r="H70" s="41"/>
      <c r="J70" s="14"/>
    </row>
    <row r="71" spans="1:10" x14ac:dyDescent="0.25">
      <c r="A71" s="3" t="s">
        <v>376</v>
      </c>
      <c r="B71" s="14">
        <v>2022</v>
      </c>
      <c r="C71" s="3" t="s">
        <v>450</v>
      </c>
      <c r="D71" s="3" t="s">
        <v>451</v>
      </c>
      <c r="E71" s="14">
        <v>1318</v>
      </c>
      <c r="F71" s="14" t="s">
        <v>26</v>
      </c>
      <c r="G71" s="3" t="s">
        <v>452</v>
      </c>
      <c r="H71" s="41"/>
      <c r="J71" s="14"/>
    </row>
    <row r="72" spans="1:10" x14ac:dyDescent="0.25">
      <c r="A72" s="40" t="s">
        <v>376</v>
      </c>
      <c r="B72" s="16">
        <v>2022</v>
      </c>
      <c r="C72" s="43" t="s">
        <v>473</v>
      </c>
      <c r="D72" s="66" t="s">
        <v>278</v>
      </c>
      <c r="E72" s="65" t="s">
        <v>474</v>
      </c>
      <c r="F72" s="16" t="s">
        <v>471</v>
      </c>
      <c r="G72" s="40" t="s">
        <v>475</v>
      </c>
      <c r="H72" s="44"/>
      <c r="I72" s="42" t="s">
        <v>476</v>
      </c>
      <c r="J72" s="14"/>
    </row>
    <row r="73" spans="1:10" x14ac:dyDescent="0.25">
      <c r="A73" s="3" t="s">
        <v>370</v>
      </c>
      <c r="B73" s="14">
        <v>2022</v>
      </c>
      <c r="C73" s="3" t="s">
        <v>448</v>
      </c>
      <c r="D73" s="3" t="s">
        <v>449</v>
      </c>
      <c r="E73" s="14">
        <v>1308</v>
      </c>
      <c r="F73" s="14" t="s">
        <v>26</v>
      </c>
      <c r="G73" s="3" t="s">
        <v>403</v>
      </c>
      <c r="H73" s="41"/>
      <c r="I73" s="4"/>
      <c r="J73" s="14"/>
    </row>
    <row r="74" spans="1:10" x14ac:dyDescent="0.25">
      <c r="A74" s="3" t="s">
        <v>376</v>
      </c>
      <c r="B74" s="14">
        <v>2023</v>
      </c>
      <c r="C74" s="3" t="s">
        <v>453</v>
      </c>
      <c r="D74" s="3" t="s">
        <v>199</v>
      </c>
      <c r="E74" s="14">
        <v>1323</v>
      </c>
      <c r="F74" s="14" t="s">
        <v>26</v>
      </c>
      <c r="G74" s="3" t="s">
        <v>454</v>
      </c>
      <c r="H74" s="41"/>
      <c r="J74" s="14"/>
    </row>
    <row r="75" spans="1:10" x14ac:dyDescent="0.25">
      <c r="A75" s="3" t="s">
        <v>376</v>
      </c>
      <c r="B75" s="14">
        <v>2023</v>
      </c>
      <c r="C75" s="3" t="s">
        <v>455</v>
      </c>
      <c r="D75" s="3" t="s">
        <v>456</v>
      </c>
      <c r="E75" s="14">
        <v>1324</v>
      </c>
      <c r="F75" s="14" t="s">
        <v>26</v>
      </c>
      <c r="H75" s="41"/>
      <c r="J75" s="14"/>
    </row>
    <row r="76" spans="1:10" x14ac:dyDescent="0.25">
      <c r="A76" s="3" t="s">
        <v>376</v>
      </c>
      <c r="B76" s="14">
        <v>2023</v>
      </c>
      <c r="C76" s="3" t="s">
        <v>457</v>
      </c>
      <c r="D76" s="3" t="s">
        <v>63</v>
      </c>
      <c r="E76" s="14">
        <v>1325</v>
      </c>
      <c r="F76" s="14" t="s">
        <v>26</v>
      </c>
      <c r="H76" s="41"/>
      <c r="J76" s="14"/>
    </row>
    <row r="77" spans="1:10" x14ac:dyDescent="0.25">
      <c r="A77" s="3" t="s">
        <v>376</v>
      </c>
      <c r="B77" s="14">
        <v>2023</v>
      </c>
      <c r="C77" s="3" t="s">
        <v>459</v>
      </c>
      <c r="D77" s="3" t="s">
        <v>193</v>
      </c>
      <c r="E77" s="14">
        <v>1338</v>
      </c>
      <c r="F77" s="14" t="s">
        <v>26</v>
      </c>
      <c r="G77" s="3" t="s">
        <v>460</v>
      </c>
      <c r="H77" s="41"/>
      <c r="J77" s="14"/>
    </row>
    <row r="78" spans="1:10" x14ac:dyDescent="0.25">
      <c r="A78" s="3" t="s">
        <v>376</v>
      </c>
      <c r="B78" s="14">
        <v>2023</v>
      </c>
      <c r="C78" s="3" t="s">
        <v>461</v>
      </c>
      <c r="D78" s="3" t="s">
        <v>253</v>
      </c>
      <c r="E78" s="14">
        <v>1342</v>
      </c>
      <c r="F78" s="14" t="s">
        <v>26</v>
      </c>
      <c r="G78" s="3" t="s">
        <v>429</v>
      </c>
      <c r="H78" s="41"/>
      <c r="J78" s="14"/>
    </row>
    <row r="79" spans="1:10" x14ac:dyDescent="0.25">
      <c r="A79" s="40" t="s">
        <v>376</v>
      </c>
      <c r="B79" s="16">
        <v>2023</v>
      </c>
      <c r="C79" s="40" t="s">
        <v>477</v>
      </c>
      <c r="D79" s="66" t="s">
        <v>478</v>
      </c>
      <c r="E79" s="65" t="s">
        <v>479</v>
      </c>
      <c r="F79" s="16" t="s">
        <v>471</v>
      </c>
      <c r="G79" s="40" t="s">
        <v>359</v>
      </c>
      <c r="H79" s="45"/>
      <c r="I79" s="42" t="s">
        <v>476</v>
      </c>
      <c r="J79" s="2"/>
    </row>
    <row r="80" spans="1:10" x14ac:dyDescent="0.25">
      <c r="A80" s="3" t="s">
        <v>370</v>
      </c>
      <c r="B80" s="14">
        <v>2023</v>
      </c>
      <c r="C80" s="3" t="s">
        <v>435</v>
      </c>
      <c r="D80" s="3" t="s">
        <v>458</v>
      </c>
      <c r="E80" s="14">
        <v>1331</v>
      </c>
      <c r="F80" s="14" t="s">
        <v>26</v>
      </c>
      <c r="G80" s="3" t="s">
        <v>435</v>
      </c>
      <c r="H80" s="41"/>
      <c r="J80" s="14"/>
    </row>
    <row r="81" spans="1:10" x14ac:dyDescent="0.25">
      <c r="A81" s="3" t="s">
        <v>376</v>
      </c>
      <c r="B81" s="14">
        <v>2024</v>
      </c>
      <c r="C81" s="3" t="s">
        <v>462</v>
      </c>
      <c r="D81" s="3" t="s">
        <v>141</v>
      </c>
      <c r="E81" s="14">
        <v>1347</v>
      </c>
      <c r="F81" s="14" t="s">
        <v>26</v>
      </c>
      <c r="G81" s="3" t="s">
        <v>463</v>
      </c>
      <c r="H81" s="41"/>
      <c r="J81" s="14"/>
    </row>
    <row r="82" spans="1:10" x14ac:dyDescent="0.25">
      <c r="A82" s="40" t="s">
        <v>376</v>
      </c>
      <c r="B82" s="16">
        <v>2024</v>
      </c>
      <c r="C82" s="40" t="s">
        <v>480</v>
      </c>
      <c r="D82" s="66" t="s">
        <v>481</v>
      </c>
      <c r="E82" s="65" t="s">
        <v>482</v>
      </c>
      <c r="F82" s="16" t="s">
        <v>471</v>
      </c>
      <c r="G82" s="40" t="s">
        <v>483</v>
      </c>
      <c r="H82" s="44"/>
      <c r="I82" s="42" t="s">
        <v>484</v>
      </c>
      <c r="J82" s="46" t="s">
        <v>485</v>
      </c>
    </row>
    <row r="83" spans="1:10" x14ac:dyDescent="0.25">
      <c r="A83" s="40" t="s">
        <v>376</v>
      </c>
      <c r="B83" s="16">
        <v>2024</v>
      </c>
      <c r="C83" s="40" t="s">
        <v>722</v>
      </c>
      <c r="D83" s="79" t="s">
        <v>486</v>
      </c>
      <c r="E83" s="16" t="s">
        <v>487</v>
      </c>
      <c r="F83" s="16" t="s">
        <v>26</v>
      </c>
      <c r="G83" s="40" t="s">
        <v>488</v>
      </c>
      <c r="H83" s="41"/>
      <c r="J83" s="14"/>
    </row>
    <row r="84" spans="1:10" x14ac:dyDescent="0.25">
      <c r="A84" s="3" t="s">
        <v>376</v>
      </c>
      <c r="B84" s="14">
        <v>2025</v>
      </c>
      <c r="C84" s="3" t="s">
        <v>889</v>
      </c>
      <c r="D84" s="3" t="s">
        <v>890</v>
      </c>
      <c r="E84" s="14">
        <v>1367</v>
      </c>
      <c r="F84" s="14" t="s">
        <v>26</v>
      </c>
      <c r="G84" s="3" t="s">
        <v>891</v>
      </c>
      <c r="H84" s="41" t="s">
        <v>892</v>
      </c>
      <c r="I84" s="124" t="s">
        <v>893</v>
      </c>
      <c r="J84" s="14"/>
    </row>
    <row r="85" spans="1:10" x14ac:dyDescent="0.25">
      <c r="B85" s="14"/>
      <c r="E85" s="14"/>
      <c r="H85" s="41"/>
      <c r="J85" s="14"/>
    </row>
    <row r="86" spans="1:10" x14ac:dyDescent="0.25">
      <c r="B86" s="14"/>
      <c r="E86" s="14"/>
      <c r="H86" s="41"/>
      <c r="J86" s="14"/>
    </row>
    <row r="87" spans="1:10" x14ac:dyDescent="0.25">
      <c r="B87" s="14"/>
      <c r="E87" s="14"/>
      <c r="H87" s="41"/>
      <c r="J87" s="14"/>
    </row>
    <row r="88" spans="1:10" x14ac:dyDescent="0.25">
      <c r="B88" s="14"/>
      <c r="E88" s="14"/>
      <c r="H88" s="41"/>
      <c r="J88" s="14"/>
    </row>
    <row r="89" spans="1:10" x14ac:dyDescent="0.25">
      <c r="B89" s="14"/>
      <c r="E89" s="14"/>
      <c r="H89" s="41"/>
      <c r="J89" s="14"/>
    </row>
    <row r="90" spans="1:10" x14ac:dyDescent="0.25">
      <c r="B90" s="14"/>
      <c r="E90" s="14"/>
      <c r="H90" s="41"/>
      <c r="J90" s="14"/>
    </row>
    <row r="91" spans="1:10" x14ac:dyDescent="0.25">
      <c r="B91" s="14"/>
      <c r="E91" s="14"/>
      <c r="H91" s="41"/>
      <c r="J91" s="14"/>
    </row>
    <row r="92" spans="1:10" x14ac:dyDescent="0.25">
      <c r="B92" s="14"/>
      <c r="E92" s="14"/>
      <c r="H92" s="41"/>
      <c r="J92" s="14"/>
    </row>
  </sheetData>
  <hyperlinks>
    <hyperlink ref="D72" r:id="rId1" xr:uid="{09E39CC3-794D-49C9-BA96-14894804A815}"/>
    <hyperlink ref="D79" r:id="rId2" xr:uid="{F5D6B0D0-985E-465E-922A-6BA79557AEB0}"/>
    <hyperlink ref="I72" r:id="rId3" display="Files" xr:uid="{9D94E058-EE60-436A-9497-03F372C6C926}"/>
    <hyperlink ref="I79" r:id="rId4" xr:uid="{143D95DC-466E-463F-A5AD-9ECE42B62513}"/>
    <hyperlink ref="I82" r:id="rId5" display="Files GitHub" xr:uid="{AC22C617-C327-457C-9F32-AAF39C0F3F49}"/>
    <hyperlink ref="J82" r:id="rId6" xr:uid="{D703DE2B-F6B9-4A73-AC4E-5B1B28A472F8}"/>
    <hyperlink ref="D63" r:id="rId7" xr:uid="{2A75E559-3478-4B9E-B541-062794CEFD19}"/>
    <hyperlink ref="D82" r:id="rId8" xr:uid="{0E50BCA6-F0A5-4492-8302-AD318BDDC695}"/>
    <hyperlink ref="I84" r:id="rId9" xr:uid="{0CD24447-F426-4BDC-9B23-84A5C67AFA56}"/>
  </hyperlinks>
  <pageMargins left="0.7" right="0.7" top="0.75" bottom="0.75" header="0.3" footer="0.3"/>
  <drawing r:id="rId10"/>
  <tableParts count="2"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E5DB-A604-4D5B-ADA6-0E91493B3AED}">
  <dimension ref="B2:Q47"/>
  <sheetViews>
    <sheetView zoomScale="80" zoomScaleNormal="80" workbookViewId="0">
      <selection activeCell="M28" sqref="M28"/>
    </sheetView>
  </sheetViews>
  <sheetFormatPr baseColWidth="10" defaultColWidth="11.42578125" defaultRowHeight="15" x14ac:dyDescent="0.25"/>
  <cols>
    <col min="9" max="9" width="37" customWidth="1"/>
    <col min="10" max="10" width="18.5703125" customWidth="1"/>
    <col min="11" max="11" width="23.85546875" customWidth="1"/>
    <col min="12" max="12" width="30.7109375" customWidth="1"/>
    <col min="13" max="13" width="29.5703125" customWidth="1"/>
  </cols>
  <sheetData>
    <row r="2" spans="2:17" ht="18.75" x14ac:dyDescent="0.3">
      <c r="E2" s="120" t="s">
        <v>876</v>
      </c>
      <c r="F2" s="120"/>
      <c r="G2" s="120"/>
      <c r="H2" s="121"/>
      <c r="J2" s="99">
        <f>COUNTA(Tableau6[œil nu/J21-30])</f>
        <v>3</v>
      </c>
      <c r="K2" s="99">
        <f>COUNTA(Tableau6[jumelles--&gt; J100/CCD])</f>
        <v>44</v>
      </c>
      <c r="L2" s="99">
        <f>COUNTA(Tableau6[petit telescope 130-150/CCD])</f>
        <v>37</v>
      </c>
      <c r="M2" s="99">
        <f>COUNTA(Tableau6[Gros telescope &gt; T200/CCD])</f>
        <v>29</v>
      </c>
      <c r="N2" s="99">
        <f>SUM(J2:M2)</f>
        <v>113</v>
      </c>
      <c r="Q2" t="s">
        <v>880</v>
      </c>
    </row>
    <row r="3" spans="2:17" x14ac:dyDescent="0.25">
      <c r="E3" s="9" t="s">
        <v>871</v>
      </c>
      <c r="F3" s="9" t="s">
        <v>882</v>
      </c>
      <c r="G3" s="9"/>
      <c r="J3" s="14" t="s">
        <v>846</v>
      </c>
      <c r="K3" s="14" t="s">
        <v>847</v>
      </c>
      <c r="L3" s="14" t="s">
        <v>799</v>
      </c>
      <c r="M3" s="14" t="s">
        <v>792</v>
      </c>
      <c r="Q3" t="s">
        <v>881</v>
      </c>
    </row>
    <row r="4" spans="2:17" x14ac:dyDescent="0.25">
      <c r="E4" s="122" t="s">
        <v>867</v>
      </c>
      <c r="F4" s="122" t="s">
        <v>872</v>
      </c>
      <c r="G4" s="122"/>
      <c r="H4" s="70"/>
      <c r="J4" s="10" t="s">
        <v>816</v>
      </c>
      <c r="K4" s="54" t="s">
        <v>884</v>
      </c>
      <c r="L4" t="s">
        <v>763</v>
      </c>
      <c r="M4" s="10" t="s">
        <v>773</v>
      </c>
    </row>
    <row r="5" spans="2:17" x14ac:dyDescent="0.25">
      <c r="E5" s="117" t="s">
        <v>868</v>
      </c>
      <c r="F5" s="117" t="s">
        <v>873</v>
      </c>
      <c r="G5" s="117"/>
      <c r="H5" s="54"/>
      <c r="J5" s="10" t="s">
        <v>817</v>
      </c>
      <c r="K5" t="s">
        <v>848</v>
      </c>
      <c r="L5" s="54" t="s">
        <v>864</v>
      </c>
      <c r="M5" t="s">
        <v>771</v>
      </c>
    </row>
    <row r="6" spans="2:17" x14ac:dyDescent="0.25">
      <c r="E6" s="15" t="s">
        <v>869</v>
      </c>
      <c r="F6" s="15" t="s">
        <v>874</v>
      </c>
      <c r="G6" s="15"/>
      <c r="H6" s="10"/>
      <c r="J6" s="10" t="s">
        <v>818</v>
      </c>
      <c r="K6" s="54" t="s">
        <v>849</v>
      </c>
      <c r="L6" s="10" t="s">
        <v>863</v>
      </c>
      <c r="M6" s="54" t="s">
        <v>778</v>
      </c>
    </row>
    <row r="7" spans="2:17" x14ac:dyDescent="0.25">
      <c r="E7" s="15" t="s">
        <v>870</v>
      </c>
      <c r="F7" s="15" t="s">
        <v>875</v>
      </c>
      <c r="G7" s="15"/>
      <c r="H7" s="10"/>
      <c r="K7" s="70" t="s">
        <v>850</v>
      </c>
      <c r="L7" s="10" t="s">
        <v>857</v>
      </c>
      <c r="M7" s="10" t="s">
        <v>772</v>
      </c>
    </row>
    <row r="8" spans="2:17" x14ac:dyDescent="0.25">
      <c r="B8" s="9" t="s">
        <v>885</v>
      </c>
      <c r="C8" s="123" t="s">
        <v>886</v>
      </c>
      <c r="D8" s="9"/>
      <c r="E8" s="9"/>
      <c r="F8" s="9"/>
      <c r="G8" s="9"/>
      <c r="H8" s="9"/>
      <c r="I8" t="s">
        <v>887</v>
      </c>
      <c r="K8" t="s">
        <v>851</v>
      </c>
      <c r="L8" t="s">
        <v>767</v>
      </c>
      <c r="M8" t="s">
        <v>777</v>
      </c>
    </row>
    <row r="9" spans="2:17" x14ac:dyDescent="0.25">
      <c r="K9" t="s">
        <v>762</v>
      </c>
      <c r="L9" s="70" t="s">
        <v>865</v>
      </c>
      <c r="M9" s="54" t="s">
        <v>780</v>
      </c>
    </row>
    <row r="10" spans="2:17" x14ac:dyDescent="0.25">
      <c r="K10" s="54" t="s">
        <v>852</v>
      </c>
      <c r="L10" s="54" t="s">
        <v>866</v>
      </c>
      <c r="M10" t="s">
        <v>782</v>
      </c>
    </row>
    <row r="11" spans="2:17" x14ac:dyDescent="0.25">
      <c r="K11" t="s">
        <v>853</v>
      </c>
      <c r="L11" s="10" t="s">
        <v>877</v>
      </c>
      <c r="M11" s="54" t="s">
        <v>783</v>
      </c>
    </row>
    <row r="12" spans="2:17" x14ac:dyDescent="0.25">
      <c r="K12" s="70" t="s">
        <v>854</v>
      </c>
      <c r="L12" t="s">
        <v>769</v>
      </c>
      <c r="M12" s="10" t="s">
        <v>785</v>
      </c>
    </row>
    <row r="13" spans="2:17" x14ac:dyDescent="0.25">
      <c r="K13" s="10" t="s">
        <v>841</v>
      </c>
      <c r="L13" t="s">
        <v>770</v>
      </c>
      <c r="M13" s="10" t="s">
        <v>786</v>
      </c>
    </row>
    <row r="14" spans="2:17" x14ac:dyDescent="0.25">
      <c r="K14" s="10" t="s">
        <v>803</v>
      </c>
      <c r="L14" s="10" t="s">
        <v>883</v>
      </c>
      <c r="M14" s="10" t="s">
        <v>787</v>
      </c>
    </row>
    <row r="15" spans="2:17" x14ac:dyDescent="0.25">
      <c r="K15" t="s">
        <v>764</v>
      </c>
      <c r="L15" s="10" t="s">
        <v>878</v>
      </c>
      <c r="M15" t="s">
        <v>788</v>
      </c>
    </row>
    <row r="16" spans="2:17" x14ac:dyDescent="0.25">
      <c r="K16" s="10" t="s">
        <v>804</v>
      </c>
      <c r="L16" t="s">
        <v>774</v>
      </c>
      <c r="M16" s="10" t="s">
        <v>789</v>
      </c>
    </row>
    <row r="17" spans="11:13" x14ac:dyDescent="0.25">
      <c r="K17" t="s">
        <v>765</v>
      </c>
      <c r="L17" t="s">
        <v>775</v>
      </c>
      <c r="M17" s="10" t="s">
        <v>791</v>
      </c>
    </row>
    <row r="18" spans="11:13" x14ac:dyDescent="0.25">
      <c r="K18" s="54" t="s">
        <v>855</v>
      </c>
      <c r="L18" t="s">
        <v>776</v>
      </c>
      <c r="M18" s="10" t="s">
        <v>793</v>
      </c>
    </row>
    <row r="19" spans="11:13" x14ac:dyDescent="0.25">
      <c r="K19" t="s">
        <v>766</v>
      </c>
      <c r="L19" t="s">
        <v>779</v>
      </c>
      <c r="M19" t="s">
        <v>795</v>
      </c>
    </row>
    <row r="20" spans="11:13" x14ac:dyDescent="0.25">
      <c r="K20" s="10" t="s">
        <v>857</v>
      </c>
      <c r="L20" s="54" t="s">
        <v>879</v>
      </c>
      <c r="M20" t="s">
        <v>796</v>
      </c>
    </row>
    <row r="21" spans="11:13" x14ac:dyDescent="0.25">
      <c r="K21" s="54" t="s">
        <v>856</v>
      </c>
      <c r="L21" t="s">
        <v>781</v>
      </c>
      <c r="M21" s="10" t="s">
        <v>798</v>
      </c>
    </row>
    <row r="22" spans="11:13" x14ac:dyDescent="0.25">
      <c r="K22" s="10" t="s">
        <v>842</v>
      </c>
      <c r="L22" s="10" t="s">
        <v>784</v>
      </c>
      <c r="M22" s="10" t="s">
        <v>800</v>
      </c>
    </row>
    <row r="23" spans="11:13" x14ac:dyDescent="0.25">
      <c r="K23" s="10" t="s">
        <v>809</v>
      </c>
      <c r="L23" t="s">
        <v>790</v>
      </c>
      <c r="M23" s="70" t="s">
        <v>812</v>
      </c>
    </row>
    <row r="24" spans="11:13" x14ac:dyDescent="0.25">
      <c r="K24" s="10" t="s">
        <v>810</v>
      </c>
      <c r="L24" t="s">
        <v>794</v>
      </c>
      <c r="M24" t="s">
        <v>813</v>
      </c>
    </row>
    <row r="25" spans="11:13" x14ac:dyDescent="0.25">
      <c r="K25" s="10" t="s">
        <v>843</v>
      </c>
      <c r="L25" s="10" t="s">
        <v>797</v>
      </c>
      <c r="M25" t="s">
        <v>814</v>
      </c>
    </row>
    <row r="26" spans="11:13" x14ac:dyDescent="0.25">
      <c r="K26" s="54" t="s">
        <v>844</v>
      </c>
      <c r="L26" s="10" t="s">
        <v>801</v>
      </c>
      <c r="M26" s="54" t="s">
        <v>815</v>
      </c>
    </row>
    <row r="27" spans="11:13" x14ac:dyDescent="0.25">
      <c r="K27" s="70" t="s">
        <v>858</v>
      </c>
      <c r="L27" s="10" t="s">
        <v>803</v>
      </c>
      <c r="M27" s="10" t="s">
        <v>888</v>
      </c>
    </row>
    <row r="28" spans="11:13" x14ac:dyDescent="0.25">
      <c r="K28" s="10" t="s">
        <v>845</v>
      </c>
      <c r="L28" t="s">
        <v>806</v>
      </c>
      <c r="M28" s="70" t="s">
        <v>820</v>
      </c>
    </row>
    <row r="29" spans="11:13" x14ac:dyDescent="0.25">
      <c r="K29" s="54" t="s">
        <v>859</v>
      </c>
      <c r="L29" s="70" t="s">
        <v>808</v>
      </c>
      <c r="M29" s="54" t="s">
        <v>822</v>
      </c>
    </row>
    <row r="30" spans="11:13" x14ac:dyDescent="0.25">
      <c r="K30" s="10" t="s">
        <v>819</v>
      </c>
      <c r="L30" s="10" t="s">
        <v>809</v>
      </c>
      <c r="M30" s="10" t="s">
        <v>824</v>
      </c>
    </row>
    <row r="31" spans="11:13" x14ac:dyDescent="0.25">
      <c r="K31" s="10" t="s">
        <v>861</v>
      </c>
      <c r="L31" s="10" t="s">
        <v>811</v>
      </c>
      <c r="M31" s="10" t="s">
        <v>825</v>
      </c>
    </row>
    <row r="32" spans="11:13" x14ac:dyDescent="0.25">
      <c r="K32" s="10" t="s">
        <v>860</v>
      </c>
      <c r="L32" s="10" t="s">
        <v>819</v>
      </c>
      <c r="M32" t="s">
        <v>827</v>
      </c>
    </row>
    <row r="33" spans="11:12" x14ac:dyDescent="0.25">
      <c r="K33" s="10" t="s">
        <v>830</v>
      </c>
      <c r="L33" s="10" t="s">
        <v>821</v>
      </c>
    </row>
    <row r="34" spans="11:12" x14ac:dyDescent="0.25">
      <c r="K34" s="70" t="s">
        <v>839</v>
      </c>
      <c r="L34" s="54" t="s">
        <v>823</v>
      </c>
    </row>
    <row r="35" spans="11:12" x14ac:dyDescent="0.25">
      <c r="K35" t="s">
        <v>768</v>
      </c>
      <c r="L35" s="10" t="s">
        <v>825</v>
      </c>
    </row>
    <row r="36" spans="11:12" x14ac:dyDescent="0.25">
      <c r="K36" s="10" t="s">
        <v>836</v>
      </c>
      <c r="L36" t="s">
        <v>826</v>
      </c>
    </row>
    <row r="37" spans="11:12" x14ac:dyDescent="0.25">
      <c r="K37" t="s">
        <v>862</v>
      </c>
      <c r="L37" s="10" t="s">
        <v>828</v>
      </c>
    </row>
    <row r="38" spans="11:12" x14ac:dyDescent="0.25">
      <c r="K38" s="54" t="s">
        <v>802</v>
      </c>
      <c r="L38" t="s">
        <v>834</v>
      </c>
    </row>
    <row r="39" spans="11:12" x14ac:dyDescent="0.25">
      <c r="K39" t="s">
        <v>805</v>
      </c>
      <c r="L39" t="s">
        <v>838</v>
      </c>
    </row>
    <row r="40" spans="11:12" x14ac:dyDescent="0.25">
      <c r="K40" s="54" t="s">
        <v>807</v>
      </c>
      <c r="L40" s="70" t="s">
        <v>840</v>
      </c>
    </row>
    <row r="41" spans="11:12" x14ac:dyDescent="0.25">
      <c r="K41" s="10" t="s">
        <v>809</v>
      </c>
    </row>
    <row r="42" spans="11:12" x14ac:dyDescent="0.25">
      <c r="K42" s="67" t="s">
        <v>829</v>
      </c>
    </row>
    <row r="43" spans="11:12" x14ac:dyDescent="0.25">
      <c r="K43" s="10" t="s">
        <v>831</v>
      </c>
    </row>
    <row r="44" spans="11:12" x14ac:dyDescent="0.25">
      <c r="K44" s="70" t="s">
        <v>832</v>
      </c>
    </row>
    <row r="45" spans="11:12" x14ac:dyDescent="0.25">
      <c r="K45" t="s">
        <v>833</v>
      </c>
    </row>
    <row r="46" spans="11:12" x14ac:dyDescent="0.25">
      <c r="K46" t="s">
        <v>835</v>
      </c>
    </row>
    <row r="47" spans="11:12" x14ac:dyDescent="0.25">
      <c r="K47" s="54" t="s">
        <v>837</v>
      </c>
    </row>
  </sheetData>
  <hyperlinks>
    <hyperlink ref="C8" r:id="rId1" xr:uid="{D264FA78-1DD2-476B-9D20-FC898D859E0B}"/>
  </hyperlinks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49BB-44BC-4DC6-942D-548003C532E8}">
  <dimension ref="A1:P333"/>
  <sheetViews>
    <sheetView topLeftCell="A313" workbookViewId="0"/>
  </sheetViews>
  <sheetFormatPr baseColWidth="10" defaultColWidth="11.42578125" defaultRowHeight="15" x14ac:dyDescent="0.25"/>
  <cols>
    <col min="1" max="1" width="8.28515625" customWidth="1"/>
    <col min="2" max="2" width="9.85546875" customWidth="1"/>
    <col min="3" max="3" width="16.42578125" style="8" customWidth="1"/>
    <col min="4" max="4" width="11.85546875" style="8" customWidth="1"/>
    <col min="5" max="5" width="17.5703125" customWidth="1"/>
    <col min="6" max="6" width="24.5703125" customWidth="1"/>
    <col min="7" max="7" width="11.7109375" customWidth="1"/>
    <col min="8" max="8" width="27.42578125" customWidth="1"/>
    <col min="9" max="9" width="21.5703125" customWidth="1"/>
    <col min="10" max="10" width="12.42578125" customWidth="1"/>
    <col min="12" max="12" width="11.5703125" customWidth="1"/>
  </cols>
  <sheetData>
    <row r="1" spans="1:16" ht="26.25" x14ac:dyDescent="0.4">
      <c r="A1" s="17" t="s">
        <v>528</v>
      </c>
      <c r="B1" s="17"/>
      <c r="C1" s="19"/>
      <c r="D1" s="20"/>
      <c r="E1" s="18"/>
      <c r="F1" s="18"/>
      <c r="G1" s="10"/>
      <c r="N1" t="s">
        <v>529</v>
      </c>
      <c r="O1" t="s">
        <v>475</v>
      </c>
    </row>
    <row r="2" spans="1:16" ht="15.75" x14ac:dyDescent="0.25">
      <c r="A2" s="9" t="s">
        <v>530</v>
      </c>
      <c r="B2" s="22">
        <f ca="1">NOW()</f>
        <v>45781.861341319447</v>
      </c>
    </row>
    <row r="3" spans="1:16" x14ac:dyDescent="0.25">
      <c r="E3" s="2" t="s">
        <v>531</v>
      </c>
    </row>
    <row r="4" spans="1:16" x14ac:dyDescent="0.25">
      <c r="E4" s="9">
        <f>COUNT(C8:C421)</f>
        <v>326</v>
      </c>
    </row>
    <row r="6" spans="1:16" ht="21" x14ac:dyDescent="0.35">
      <c r="N6" s="35" t="s">
        <v>532</v>
      </c>
      <c r="O6" s="35"/>
      <c r="P6" s="36"/>
    </row>
    <row r="7" spans="1:16" ht="21" x14ac:dyDescent="0.35">
      <c r="A7" t="s">
        <v>533</v>
      </c>
      <c r="B7" t="s">
        <v>534</v>
      </c>
      <c r="C7" s="8" t="s">
        <v>10</v>
      </c>
      <c r="D7" s="8" t="s">
        <v>535</v>
      </c>
      <c r="E7" t="s">
        <v>536</v>
      </c>
      <c r="F7" t="s">
        <v>14</v>
      </c>
      <c r="G7" t="s">
        <v>537</v>
      </c>
      <c r="H7" t="s">
        <v>15</v>
      </c>
      <c r="I7" t="s">
        <v>322</v>
      </c>
      <c r="J7" t="s">
        <v>18</v>
      </c>
      <c r="K7" t="s">
        <v>19</v>
      </c>
      <c r="L7" t="s">
        <v>20</v>
      </c>
      <c r="N7" s="35" t="s">
        <v>538</v>
      </c>
      <c r="O7" s="35"/>
      <c r="P7" s="36"/>
    </row>
    <row r="8" spans="1:16" ht="21" x14ac:dyDescent="0.35">
      <c r="A8" t="s">
        <v>507</v>
      </c>
      <c r="B8" t="s">
        <v>30</v>
      </c>
      <c r="C8" s="8">
        <v>36084.656000000003</v>
      </c>
      <c r="D8" s="8">
        <v>0.15</v>
      </c>
      <c r="F8" t="s">
        <v>539</v>
      </c>
      <c r="G8" t="s">
        <v>540</v>
      </c>
      <c r="N8" s="35" t="s">
        <v>541</v>
      </c>
      <c r="O8" s="35"/>
      <c r="P8" s="36"/>
    </row>
    <row r="9" spans="1:16" x14ac:dyDescent="0.25">
      <c r="A9" t="s">
        <v>507</v>
      </c>
      <c r="B9" t="s">
        <v>30</v>
      </c>
      <c r="C9" s="8">
        <v>45177.49</v>
      </c>
      <c r="D9" s="8">
        <v>0.15</v>
      </c>
      <c r="E9" t="s">
        <v>24</v>
      </c>
      <c r="F9" t="s">
        <v>542</v>
      </c>
      <c r="G9" t="s">
        <v>543</v>
      </c>
      <c r="I9" t="s">
        <v>544</v>
      </c>
      <c r="J9" t="s">
        <v>166</v>
      </c>
    </row>
    <row r="10" spans="1:16" x14ac:dyDescent="0.25">
      <c r="A10" t="s">
        <v>507</v>
      </c>
      <c r="B10" t="s">
        <v>30</v>
      </c>
      <c r="C10" s="8">
        <v>2396168.7319999998</v>
      </c>
      <c r="D10" s="8">
        <v>0.15</v>
      </c>
      <c r="E10" t="s">
        <v>545</v>
      </c>
      <c r="F10" t="s">
        <v>546</v>
      </c>
      <c r="G10" t="s">
        <v>543</v>
      </c>
      <c r="H10" t="s">
        <v>547</v>
      </c>
      <c r="I10" t="s">
        <v>548</v>
      </c>
      <c r="J10" t="s">
        <v>166</v>
      </c>
    </row>
    <row r="11" spans="1:16" x14ac:dyDescent="0.25">
      <c r="A11" t="s">
        <v>507</v>
      </c>
      <c r="B11" t="s">
        <v>67</v>
      </c>
      <c r="C11" s="8">
        <v>17740.811000000002</v>
      </c>
      <c r="D11" s="8">
        <v>0.15</v>
      </c>
      <c r="E11" t="s">
        <v>545</v>
      </c>
      <c r="F11" t="s">
        <v>546</v>
      </c>
      <c r="G11" t="s">
        <v>543</v>
      </c>
      <c r="H11" t="s">
        <v>547</v>
      </c>
      <c r="I11" t="s">
        <v>548</v>
      </c>
      <c r="J11" t="s">
        <v>166</v>
      </c>
    </row>
    <row r="12" spans="1:16" x14ac:dyDescent="0.25">
      <c r="A12" t="s">
        <v>507</v>
      </c>
      <c r="B12" t="s">
        <v>68</v>
      </c>
      <c r="C12" s="8">
        <v>11873.865</v>
      </c>
      <c r="D12" s="8">
        <v>0.15</v>
      </c>
      <c r="E12" t="s">
        <v>545</v>
      </c>
      <c r="F12" t="s">
        <v>546</v>
      </c>
      <c r="G12" t="s">
        <v>543</v>
      </c>
      <c r="H12" t="s">
        <v>547</v>
      </c>
      <c r="I12" t="s">
        <v>548</v>
      </c>
      <c r="J12" t="s">
        <v>166</v>
      </c>
    </row>
    <row r="13" spans="1:16" x14ac:dyDescent="0.25">
      <c r="A13" t="s">
        <v>507</v>
      </c>
      <c r="B13" t="s">
        <v>71</v>
      </c>
      <c r="C13" s="8">
        <v>10170.325000000001</v>
      </c>
      <c r="D13" s="8">
        <v>0.15</v>
      </c>
      <c r="E13" t="s">
        <v>545</v>
      </c>
      <c r="F13" t="s">
        <v>546</v>
      </c>
      <c r="G13" t="s">
        <v>543</v>
      </c>
      <c r="H13" t="s">
        <v>547</v>
      </c>
      <c r="I13" t="s">
        <v>548</v>
      </c>
      <c r="J13" t="s">
        <v>166</v>
      </c>
    </row>
    <row r="14" spans="1:16" x14ac:dyDescent="0.25">
      <c r="A14" t="s">
        <v>508</v>
      </c>
      <c r="B14" t="s">
        <v>85</v>
      </c>
      <c r="C14" s="8">
        <v>17173.3</v>
      </c>
      <c r="D14" s="8">
        <v>0.15</v>
      </c>
      <c r="E14" t="s">
        <v>545</v>
      </c>
      <c r="F14" t="s">
        <v>546</v>
      </c>
      <c r="G14" t="s">
        <v>543</v>
      </c>
      <c r="H14" t="s">
        <v>547</v>
      </c>
      <c r="I14" t="s">
        <v>548</v>
      </c>
      <c r="J14" t="s">
        <v>166</v>
      </c>
    </row>
    <row r="15" spans="1:16" x14ac:dyDescent="0.25">
      <c r="A15" t="s">
        <v>508</v>
      </c>
      <c r="B15" t="s">
        <v>85</v>
      </c>
      <c r="C15" s="8">
        <v>46492.23</v>
      </c>
      <c r="D15" s="8">
        <v>0.15</v>
      </c>
      <c r="E15" t="s">
        <v>24</v>
      </c>
      <c r="F15" t="s">
        <v>542</v>
      </c>
      <c r="G15" t="s">
        <v>543</v>
      </c>
      <c r="I15" t="s">
        <v>544</v>
      </c>
      <c r="J15" t="s">
        <v>166</v>
      </c>
    </row>
    <row r="16" spans="1:16" x14ac:dyDescent="0.25">
      <c r="A16" t="s">
        <v>508</v>
      </c>
      <c r="B16" t="s">
        <v>123</v>
      </c>
      <c r="C16" s="8">
        <v>15083.43</v>
      </c>
      <c r="D16" s="8">
        <v>0.15</v>
      </c>
      <c r="E16" t="s">
        <v>545</v>
      </c>
      <c r="F16" t="s">
        <v>546</v>
      </c>
      <c r="G16" t="s">
        <v>543</v>
      </c>
      <c r="H16" t="s">
        <v>547</v>
      </c>
      <c r="I16" t="s">
        <v>548</v>
      </c>
      <c r="J16" t="s">
        <v>166</v>
      </c>
    </row>
    <row r="17" spans="1:10" x14ac:dyDescent="0.25">
      <c r="A17" t="s">
        <v>508</v>
      </c>
      <c r="B17" t="s">
        <v>549</v>
      </c>
      <c r="C17" s="8">
        <v>17833.400000000001</v>
      </c>
      <c r="D17" s="8">
        <v>0.15</v>
      </c>
      <c r="E17" t="s">
        <v>545</v>
      </c>
      <c r="F17" t="s">
        <v>546</v>
      </c>
      <c r="G17" t="s">
        <v>543</v>
      </c>
      <c r="H17" t="s">
        <v>547</v>
      </c>
      <c r="I17" t="s">
        <v>548</v>
      </c>
      <c r="J17" t="s">
        <v>166</v>
      </c>
    </row>
    <row r="18" spans="1:10" x14ac:dyDescent="0.25">
      <c r="A18" t="s">
        <v>508</v>
      </c>
      <c r="B18" t="s">
        <v>246</v>
      </c>
      <c r="C18" s="8">
        <v>15420.64</v>
      </c>
      <c r="D18" s="8">
        <v>0.15</v>
      </c>
      <c r="E18" t="s">
        <v>545</v>
      </c>
      <c r="F18" t="s">
        <v>546</v>
      </c>
      <c r="G18" t="s">
        <v>543</v>
      </c>
      <c r="H18" t="s">
        <v>547</v>
      </c>
      <c r="I18" t="s">
        <v>548</v>
      </c>
      <c r="J18" t="s">
        <v>166</v>
      </c>
    </row>
    <row r="19" spans="1:10" x14ac:dyDescent="0.25">
      <c r="A19" t="s">
        <v>550</v>
      </c>
      <c r="B19" t="s">
        <v>521</v>
      </c>
      <c r="C19" s="8">
        <v>18115.626</v>
      </c>
      <c r="D19" s="8">
        <v>0.15</v>
      </c>
      <c r="E19" t="s">
        <v>545</v>
      </c>
      <c r="F19" t="s">
        <v>546</v>
      </c>
      <c r="G19" t="s">
        <v>543</v>
      </c>
      <c r="H19" t="s">
        <v>547</v>
      </c>
      <c r="I19" t="s">
        <v>548</v>
      </c>
      <c r="J19" t="s">
        <v>166</v>
      </c>
    </row>
    <row r="20" spans="1:10" x14ac:dyDescent="0.25">
      <c r="A20" t="s">
        <v>550</v>
      </c>
      <c r="B20" t="s">
        <v>142</v>
      </c>
      <c r="C20" s="8">
        <v>19229.099999999999</v>
      </c>
      <c r="D20" s="8">
        <v>0.15</v>
      </c>
      <c r="E20" t="s">
        <v>545</v>
      </c>
      <c r="F20" t="s">
        <v>546</v>
      </c>
      <c r="G20" t="s">
        <v>543</v>
      </c>
      <c r="H20" t="s">
        <v>547</v>
      </c>
      <c r="I20" t="s">
        <v>548</v>
      </c>
      <c r="J20" t="s">
        <v>166</v>
      </c>
    </row>
    <row r="21" spans="1:10" x14ac:dyDescent="0.25">
      <c r="A21" t="s">
        <v>509</v>
      </c>
      <c r="B21" t="s">
        <v>125</v>
      </c>
      <c r="C21" s="8">
        <v>50015.42</v>
      </c>
      <c r="E21" t="s">
        <v>24</v>
      </c>
      <c r="F21" t="s">
        <v>551</v>
      </c>
      <c r="G21" t="s">
        <v>552</v>
      </c>
      <c r="H21" t="s">
        <v>126</v>
      </c>
      <c r="I21" t="s">
        <v>127</v>
      </c>
    </row>
    <row r="22" spans="1:10" x14ac:dyDescent="0.25">
      <c r="A22" t="s">
        <v>509</v>
      </c>
      <c r="B22" t="s">
        <v>125</v>
      </c>
      <c r="C22" s="8">
        <v>50081.33</v>
      </c>
      <c r="E22" t="s">
        <v>24</v>
      </c>
      <c r="F22" t="s">
        <v>551</v>
      </c>
      <c r="G22" t="s">
        <v>552</v>
      </c>
      <c r="H22" t="s">
        <v>126</v>
      </c>
      <c r="I22" t="s">
        <v>127</v>
      </c>
    </row>
    <row r="23" spans="1:10" x14ac:dyDescent="0.25">
      <c r="A23" t="s">
        <v>509</v>
      </c>
      <c r="B23" t="s">
        <v>125</v>
      </c>
      <c r="C23" s="8">
        <v>50088.01</v>
      </c>
      <c r="E23" t="s">
        <v>24</v>
      </c>
      <c r="F23" t="s">
        <v>553</v>
      </c>
      <c r="G23" t="s">
        <v>552</v>
      </c>
      <c r="H23" t="s">
        <v>126</v>
      </c>
      <c r="I23" t="s">
        <v>127</v>
      </c>
    </row>
    <row r="24" spans="1:10" x14ac:dyDescent="0.25">
      <c r="A24" t="s">
        <v>509</v>
      </c>
      <c r="B24" t="s">
        <v>125</v>
      </c>
      <c r="C24" s="8">
        <v>50107.75</v>
      </c>
      <c r="E24" t="s">
        <v>24</v>
      </c>
      <c r="F24" t="s">
        <v>554</v>
      </c>
      <c r="G24" t="s">
        <v>552</v>
      </c>
      <c r="H24" t="s">
        <v>126</v>
      </c>
      <c r="I24" t="s">
        <v>127</v>
      </c>
    </row>
    <row r="25" spans="1:10" x14ac:dyDescent="0.25">
      <c r="A25" t="s">
        <v>509</v>
      </c>
      <c r="B25" t="s">
        <v>125</v>
      </c>
      <c r="C25" s="8">
        <v>50137.3</v>
      </c>
      <c r="E25" t="s">
        <v>24</v>
      </c>
      <c r="F25" t="s">
        <v>551</v>
      </c>
      <c r="G25" t="s">
        <v>552</v>
      </c>
      <c r="H25" t="s">
        <v>126</v>
      </c>
      <c r="I25" t="s">
        <v>127</v>
      </c>
    </row>
    <row r="26" spans="1:10" x14ac:dyDescent="0.25">
      <c r="A26" t="s">
        <v>509</v>
      </c>
      <c r="B26" t="s">
        <v>125</v>
      </c>
      <c r="C26" s="8">
        <v>50140.75</v>
      </c>
      <c r="E26" t="s">
        <v>24</v>
      </c>
      <c r="F26" t="s">
        <v>555</v>
      </c>
      <c r="G26" t="s">
        <v>552</v>
      </c>
      <c r="H26" t="s">
        <v>126</v>
      </c>
      <c r="I26" t="s">
        <v>127</v>
      </c>
    </row>
    <row r="27" spans="1:10" x14ac:dyDescent="0.25">
      <c r="A27" t="s">
        <v>509</v>
      </c>
      <c r="B27" t="s">
        <v>125</v>
      </c>
      <c r="C27" s="8">
        <v>50150.552000000003</v>
      </c>
      <c r="E27" t="s">
        <v>24</v>
      </c>
      <c r="F27" t="s">
        <v>556</v>
      </c>
      <c r="G27" t="s">
        <v>552</v>
      </c>
      <c r="H27" t="s">
        <v>126</v>
      </c>
      <c r="I27" t="s">
        <v>127</v>
      </c>
    </row>
    <row r="28" spans="1:10" x14ac:dyDescent="0.25">
      <c r="A28" t="s">
        <v>509</v>
      </c>
      <c r="B28" t="s">
        <v>125</v>
      </c>
      <c r="C28" s="8">
        <v>50150.559999999998</v>
      </c>
      <c r="E28" t="s">
        <v>24</v>
      </c>
      <c r="F28" t="s">
        <v>556</v>
      </c>
      <c r="G28" t="s">
        <v>552</v>
      </c>
      <c r="H28" t="s">
        <v>126</v>
      </c>
      <c r="I28" t="s">
        <v>127</v>
      </c>
    </row>
    <row r="29" spans="1:10" x14ac:dyDescent="0.25">
      <c r="A29" t="s">
        <v>509</v>
      </c>
      <c r="B29" t="s">
        <v>125</v>
      </c>
      <c r="C29" s="8">
        <v>51293.87</v>
      </c>
      <c r="E29" t="s">
        <v>24</v>
      </c>
      <c r="F29" t="s">
        <v>557</v>
      </c>
      <c r="G29" t="s">
        <v>552</v>
      </c>
      <c r="H29" t="s">
        <v>126</v>
      </c>
      <c r="I29" t="s">
        <v>127</v>
      </c>
    </row>
    <row r="30" spans="1:10" x14ac:dyDescent="0.25">
      <c r="A30" t="s">
        <v>509</v>
      </c>
      <c r="B30" t="s">
        <v>125</v>
      </c>
      <c r="C30" s="8">
        <v>53501.38</v>
      </c>
      <c r="D30" s="8">
        <v>0.04</v>
      </c>
      <c r="E30" t="s">
        <v>226</v>
      </c>
      <c r="F30" t="s">
        <v>558</v>
      </c>
      <c r="G30" t="s">
        <v>552</v>
      </c>
      <c r="H30" t="s">
        <v>126</v>
      </c>
      <c r="I30" t="s">
        <v>127</v>
      </c>
      <c r="J30" t="s">
        <v>559</v>
      </c>
    </row>
    <row r="31" spans="1:10" x14ac:dyDescent="0.25">
      <c r="A31" t="s">
        <v>509</v>
      </c>
      <c r="B31" t="s">
        <v>560</v>
      </c>
      <c r="C31" s="8">
        <v>17610.96</v>
      </c>
      <c r="D31" s="8">
        <v>0.15</v>
      </c>
      <c r="E31" t="s">
        <v>545</v>
      </c>
      <c r="F31" t="s">
        <v>546</v>
      </c>
      <c r="G31" t="s">
        <v>543</v>
      </c>
      <c r="H31" t="s">
        <v>547</v>
      </c>
      <c r="I31" t="s">
        <v>548</v>
      </c>
      <c r="J31" t="s">
        <v>561</v>
      </c>
    </row>
    <row r="32" spans="1:10" x14ac:dyDescent="0.25">
      <c r="A32" t="s">
        <v>509</v>
      </c>
      <c r="B32" t="s">
        <v>129</v>
      </c>
      <c r="C32" s="21">
        <v>47944.49</v>
      </c>
      <c r="D32" s="8">
        <v>0.15</v>
      </c>
      <c r="E32" t="s">
        <v>24</v>
      </c>
      <c r="F32" t="s">
        <v>562</v>
      </c>
      <c r="G32" t="s">
        <v>552</v>
      </c>
      <c r="H32" t="s">
        <v>563</v>
      </c>
      <c r="I32" t="s">
        <v>564</v>
      </c>
    </row>
    <row r="33" spans="1:10" x14ac:dyDescent="0.25">
      <c r="A33" t="s">
        <v>509</v>
      </c>
      <c r="B33" t="s">
        <v>129</v>
      </c>
      <c r="C33" s="21">
        <v>50080.3</v>
      </c>
      <c r="D33" s="8">
        <v>0.15</v>
      </c>
      <c r="E33" t="s">
        <v>565</v>
      </c>
      <c r="F33" t="s">
        <v>566</v>
      </c>
      <c r="G33" t="s">
        <v>552</v>
      </c>
      <c r="H33" t="s">
        <v>563</v>
      </c>
      <c r="I33" t="s">
        <v>564</v>
      </c>
    </row>
    <row r="34" spans="1:10" x14ac:dyDescent="0.25">
      <c r="A34" t="s">
        <v>509</v>
      </c>
      <c r="B34" t="s">
        <v>129</v>
      </c>
      <c r="C34" s="21">
        <v>51867.97</v>
      </c>
      <c r="D34" s="8">
        <v>0.15</v>
      </c>
      <c r="E34" t="s">
        <v>24</v>
      </c>
      <c r="F34" t="s">
        <v>567</v>
      </c>
      <c r="G34" t="s">
        <v>552</v>
      </c>
      <c r="H34" t="s">
        <v>563</v>
      </c>
      <c r="I34" t="s">
        <v>564</v>
      </c>
    </row>
    <row r="35" spans="1:10" x14ac:dyDescent="0.25">
      <c r="A35" t="s">
        <v>509</v>
      </c>
      <c r="B35" t="s">
        <v>129</v>
      </c>
      <c r="C35" s="21">
        <v>52935</v>
      </c>
      <c r="D35" s="8">
        <v>0.15</v>
      </c>
      <c r="E35" t="s">
        <v>24</v>
      </c>
      <c r="F35" t="s">
        <v>567</v>
      </c>
      <c r="G35" t="s">
        <v>552</v>
      </c>
      <c r="H35" t="s">
        <v>563</v>
      </c>
      <c r="I35" t="s">
        <v>564</v>
      </c>
    </row>
    <row r="36" spans="1:10" x14ac:dyDescent="0.25">
      <c r="A36" t="s">
        <v>509</v>
      </c>
      <c r="B36" t="s">
        <v>129</v>
      </c>
      <c r="C36" s="21">
        <v>54379.6</v>
      </c>
      <c r="D36" s="8">
        <v>0.15</v>
      </c>
      <c r="E36" t="s">
        <v>24</v>
      </c>
      <c r="F36" t="s">
        <v>562</v>
      </c>
      <c r="G36" t="s">
        <v>552</v>
      </c>
      <c r="H36" t="s">
        <v>563</v>
      </c>
      <c r="I36" t="s">
        <v>564</v>
      </c>
    </row>
    <row r="37" spans="1:10" x14ac:dyDescent="0.25">
      <c r="A37" t="s">
        <v>510</v>
      </c>
      <c r="B37" t="s">
        <v>521</v>
      </c>
      <c r="C37" s="8">
        <v>17414.36</v>
      </c>
      <c r="D37" s="8">
        <v>0.15</v>
      </c>
      <c r="E37" t="s">
        <v>545</v>
      </c>
      <c r="F37" t="s">
        <v>546</v>
      </c>
      <c r="G37" t="s">
        <v>543</v>
      </c>
      <c r="H37" t="s">
        <v>547</v>
      </c>
      <c r="I37" t="s">
        <v>548</v>
      </c>
      <c r="J37" t="s">
        <v>166</v>
      </c>
    </row>
    <row r="38" spans="1:10" x14ac:dyDescent="0.25">
      <c r="A38" t="s">
        <v>510</v>
      </c>
      <c r="B38" t="s">
        <v>129</v>
      </c>
      <c r="C38" s="8">
        <v>17062.5</v>
      </c>
      <c r="D38" s="8">
        <v>0.15</v>
      </c>
      <c r="E38" t="s">
        <v>545</v>
      </c>
      <c r="F38" t="s">
        <v>546</v>
      </c>
      <c r="G38" t="s">
        <v>543</v>
      </c>
      <c r="H38" t="s">
        <v>547</v>
      </c>
      <c r="I38" t="s">
        <v>548</v>
      </c>
      <c r="J38" t="s">
        <v>166</v>
      </c>
    </row>
    <row r="39" spans="1:10" x14ac:dyDescent="0.25">
      <c r="A39" t="s">
        <v>510</v>
      </c>
      <c r="B39" t="s">
        <v>142</v>
      </c>
      <c r="C39" s="8">
        <v>17354.439999999999</v>
      </c>
      <c r="D39" s="8">
        <v>0.15</v>
      </c>
      <c r="E39" t="s">
        <v>545</v>
      </c>
      <c r="F39" t="s">
        <v>546</v>
      </c>
      <c r="G39" t="s">
        <v>543</v>
      </c>
      <c r="H39" t="s">
        <v>547</v>
      </c>
      <c r="I39" t="s">
        <v>548</v>
      </c>
      <c r="J39" t="s">
        <v>166</v>
      </c>
    </row>
    <row r="40" spans="1:10" x14ac:dyDescent="0.25">
      <c r="A40" t="s">
        <v>510</v>
      </c>
      <c r="B40" t="s">
        <v>145</v>
      </c>
      <c r="C40" s="8">
        <v>17287.3</v>
      </c>
      <c r="D40" s="8">
        <v>0.15</v>
      </c>
      <c r="E40" t="s">
        <v>545</v>
      </c>
      <c r="F40" t="s">
        <v>546</v>
      </c>
      <c r="G40" t="s">
        <v>543</v>
      </c>
      <c r="H40" t="s">
        <v>547</v>
      </c>
      <c r="I40" t="s">
        <v>548</v>
      </c>
      <c r="J40" t="s">
        <v>568</v>
      </c>
    </row>
    <row r="41" spans="1:10" x14ac:dyDescent="0.25">
      <c r="A41" t="s">
        <v>510</v>
      </c>
      <c r="B41" t="s">
        <v>145</v>
      </c>
      <c r="C41" s="8">
        <v>37645.788999999997</v>
      </c>
      <c r="D41" s="8">
        <v>0.15</v>
      </c>
      <c r="F41" t="s">
        <v>569</v>
      </c>
      <c r="G41" t="s">
        <v>540</v>
      </c>
    </row>
    <row r="42" spans="1:10" x14ac:dyDescent="0.25">
      <c r="A42" t="s">
        <v>510</v>
      </c>
      <c r="B42" t="s">
        <v>145</v>
      </c>
      <c r="C42" s="8">
        <v>38000.597999999998</v>
      </c>
      <c r="D42" s="8">
        <v>0.15</v>
      </c>
      <c r="F42" t="s">
        <v>539</v>
      </c>
      <c r="G42" t="s">
        <v>540</v>
      </c>
    </row>
    <row r="43" spans="1:10" x14ac:dyDescent="0.25">
      <c r="A43" t="s">
        <v>510</v>
      </c>
      <c r="B43" t="s">
        <v>145</v>
      </c>
      <c r="C43" s="8">
        <v>41930.480000000003</v>
      </c>
      <c r="D43" s="8">
        <v>0.15</v>
      </c>
      <c r="G43" t="s">
        <v>543</v>
      </c>
      <c r="H43" t="s">
        <v>570</v>
      </c>
      <c r="I43" t="s">
        <v>571</v>
      </c>
    </row>
    <row r="44" spans="1:10" x14ac:dyDescent="0.25">
      <c r="A44" t="s">
        <v>510</v>
      </c>
      <c r="B44" t="s">
        <v>572</v>
      </c>
      <c r="C44" s="8">
        <v>17809.2</v>
      </c>
      <c r="D44" s="8">
        <v>0.15</v>
      </c>
      <c r="E44" t="s">
        <v>545</v>
      </c>
      <c r="F44" t="s">
        <v>546</v>
      </c>
      <c r="G44" t="s">
        <v>543</v>
      </c>
      <c r="H44" t="s">
        <v>547</v>
      </c>
      <c r="I44" t="s">
        <v>548</v>
      </c>
      <c r="J44" t="s">
        <v>166</v>
      </c>
    </row>
    <row r="45" spans="1:10" x14ac:dyDescent="0.25">
      <c r="A45" t="s">
        <v>510</v>
      </c>
      <c r="B45" t="s">
        <v>549</v>
      </c>
      <c r="C45" s="8">
        <v>17911.615000000002</v>
      </c>
      <c r="D45" s="8">
        <v>0.15</v>
      </c>
      <c r="E45" t="s">
        <v>545</v>
      </c>
      <c r="F45" t="s">
        <v>546</v>
      </c>
      <c r="G45" t="s">
        <v>543</v>
      </c>
      <c r="H45" t="s">
        <v>547</v>
      </c>
      <c r="I45" t="s">
        <v>548</v>
      </c>
      <c r="J45" t="s">
        <v>166</v>
      </c>
    </row>
    <row r="46" spans="1:10" x14ac:dyDescent="0.25">
      <c r="A46" t="s">
        <v>510</v>
      </c>
      <c r="B46" t="s">
        <v>155</v>
      </c>
      <c r="C46" s="8">
        <v>19302.12</v>
      </c>
      <c r="D46" s="8">
        <v>0.15</v>
      </c>
      <c r="E46" t="s">
        <v>545</v>
      </c>
      <c r="F46" t="s">
        <v>546</v>
      </c>
      <c r="G46" t="s">
        <v>543</v>
      </c>
      <c r="H46" t="s">
        <v>547</v>
      </c>
      <c r="I46" t="s">
        <v>548</v>
      </c>
      <c r="J46" t="s">
        <v>573</v>
      </c>
    </row>
    <row r="47" spans="1:10" x14ac:dyDescent="0.25">
      <c r="A47" t="s">
        <v>511</v>
      </c>
      <c r="B47" t="s">
        <v>163</v>
      </c>
      <c r="C47" s="8">
        <v>36075.445</v>
      </c>
      <c r="D47" s="8">
        <v>0.15</v>
      </c>
      <c r="G47" t="s">
        <v>539</v>
      </c>
    </row>
    <row r="48" spans="1:10" x14ac:dyDescent="0.25">
      <c r="A48" t="s">
        <v>511</v>
      </c>
      <c r="B48" t="s">
        <v>163</v>
      </c>
      <c r="C48" s="8">
        <v>2393659.8560000001</v>
      </c>
      <c r="D48" s="8">
        <v>0.15</v>
      </c>
      <c r="E48" t="s">
        <v>545</v>
      </c>
      <c r="F48" t="s">
        <v>546</v>
      </c>
      <c r="G48" t="s">
        <v>543</v>
      </c>
      <c r="H48" t="s">
        <v>547</v>
      </c>
      <c r="I48" t="s">
        <v>548</v>
      </c>
      <c r="J48" t="s">
        <v>166</v>
      </c>
    </row>
    <row r="49" spans="1:11" x14ac:dyDescent="0.25">
      <c r="A49" t="s">
        <v>512</v>
      </c>
      <c r="B49" t="s">
        <v>145</v>
      </c>
      <c r="C49" s="8">
        <v>14202.82</v>
      </c>
      <c r="D49" s="8">
        <v>0.15</v>
      </c>
      <c r="E49" t="s">
        <v>545</v>
      </c>
      <c r="F49" t="s">
        <v>546</v>
      </c>
      <c r="G49" t="s">
        <v>543</v>
      </c>
      <c r="H49" t="s">
        <v>547</v>
      </c>
      <c r="I49" t="s">
        <v>548</v>
      </c>
      <c r="J49" t="s">
        <v>166</v>
      </c>
    </row>
    <row r="50" spans="1:11" x14ac:dyDescent="0.25">
      <c r="A50" t="s">
        <v>512</v>
      </c>
      <c r="B50" t="s">
        <v>145</v>
      </c>
      <c r="C50" s="8">
        <v>21278.503000000001</v>
      </c>
      <c r="D50" s="8">
        <v>0.15</v>
      </c>
      <c r="F50" t="s">
        <v>574</v>
      </c>
      <c r="G50" t="s">
        <v>540</v>
      </c>
    </row>
    <row r="51" spans="1:11" x14ac:dyDescent="0.25">
      <c r="A51" t="s">
        <v>512</v>
      </c>
      <c r="B51" t="s">
        <v>145</v>
      </c>
      <c r="C51" s="8">
        <v>36237.608999999997</v>
      </c>
      <c r="D51" s="8">
        <v>0.15</v>
      </c>
      <c r="F51" t="s">
        <v>575</v>
      </c>
      <c r="G51" t="s">
        <v>540</v>
      </c>
    </row>
    <row r="52" spans="1:11" x14ac:dyDescent="0.25">
      <c r="A52" t="s">
        <v>512</v>
      </c>
      <c r="B52" t="s">
        <v>145</v>
      </c>
      <c r="C52" s="8">
        <v>42617.81</v>
      </c>
      <c r="D52" s="8">
        <v>0.15</v>
      </c>
      <c r="F52" t="s">
        <v>540</v>
      </c>
      <c r="G52" t="s">
        <v>540</v>
      </c>
    </row>
    <row r="53" spans="1:11" x14ac:dyDescent="0.25">
      <c r="A53" t="s">
        <v>512</v>
      </c>
      <c r="B53" t="s">
        <v>67</v>
      </c>
      <c r="C53" s="8">
        <v>15097.08</v>
      </c>
      <c r="D53" s="8">
        <v>0.15</v>
      </c>
      <c r="E53" t="s">
        <v>545</v>
      </c>
      <c r="F53" t="s">
        <v>546</v>
      </c>
      <c r="G53" t="s">
        <v>543</v>
      </c>
      <c r="H53" t="s">
        <v>547</v>
      </c>
      <c r="I53" t="s">
        <v>548</v>
      </c>
      <c r="J53" t="s">
        <v>166</v>
      </c>
    </row>
    <row r="54" spans="1:11" x14ac:dyDescent="0.25">
      <c r="A54" t="s">
        <v>512</v>
      </c>
      <c r="B54" t="s">
        <v>201</v>
      </c>
      <c r="C54" s="8">
        <v>14935</v>
      </c>
      <c r="D54" s="8">
        <v>0.15</v>
      </c>
      <c r="E54" t="s">
        <v>545</v>
      </c>
      <c r="F54" t="s">
        <v>546</v>
      </c>
      <c r="G54" t="s">
        <v>543</v>
      </c>
      <c r="H54" t="s">
        <v>547</v>
      </c>
      <c r="I54" t="s">
        <v>548</v>
      </c>
      <c r="J54" t="s">
        <v>166</v>
      </c>
    </row>
    <row r="55" spans="1:11" x14ac:dyDescent="0.25">
      <c r="A55" t="s">
        <v>512</v>
      </c>
      <c r="B55" t="s">
        <v>202</v>
      </c>
      <c r="C55" s="8">
        <v>16370.950699999999</v>
      </c>
      <c r="D55" s="8">
        <v>0.15</v>
      </c>
      <c r="E55" t="s">
        <v>545</v>
      </c>
      <c r="F55" t="s">
        <v>546</v>
      </c>
      <c r="G55" t="s">
        <v>543</v>
      </c>
      <c r="H55" t="s">
        <v>547</v>
      </c>
      <c r="I55" t="s">
        <v>548</v>
      </c>
      <c r="J55" t="s">
        <v>166</v>
      </c>
    </row>
    <row r="56" spans="1:11" x14ac:dyDescent="0.25">
      <c r="A56" t="s">
        <v>512</v>
      </c>
      <c r="B56" t="s">
        <v>576</v>
      </c>
      <c r="C56" s="8">
        <v>17061.98</v>
      </c>
      <c r="D56" s="8">
        <v>0.15</v>
      </c>
      <c r="E56" t="s">
        <v>545</v>
      </c>
      <c r="F56" t="s">
        <v>546</v>
      </c>
      <c r="G56" t="s">
        <v>543</v>
      </c>
      <c r="H56" t="s">
        <v>547</v>
      </c>
      <c r="I56" t="s">
        <v>548</v>
      </c>
      <c r="J56" t="s">
        <v>166</v>
      </c>
    </row>
    <row r="57" spans="1:11" x14ac:dyDescent="0.25">
      <c r="A57" t="s">
        <v>512</v>
      </c>
      <c r="B57" t="s">
        <v>203</v>
      </c>
      <c r="C57" s="8">
        <v>10190.678</v>
      </c>
      <c r="D57" s="8">
        <v>0.15</v>
      </c>
      <c r="E57" t="s">
        <v>545</v>
      </c>
      <c r="F57" t="s">
        <v>546</v>
      </c>
      <c r="G57" t="s">
        <v>543</v>
      </c>
      <c r="H57" t="s">
        <v>547</v>
      </c>
      <c r="I57" t="s">
        <v>548</v>
      </c>
      <c r="J57" t="s">
        <v>166</v>
      </c>
    </row>
    <row r="58" spans="1:11" x14ac:dyDescent="0.25">
      <c r="A58" t="s">
        <v>512</v>
      </c>
      <c r="B58" t="s">
        <v>203</v>
      </c>
      <c r="C58" s="8">
        <v>35915.917999999998</v>
      </c>
      <c r="D58" s="8">
        <v>0.15</v>
      </c>
      <c r="F58" t="s">
        <v>539</v>
      </c>
      <c r="G58" t="s">
        <v>540</v>
      </c>
    </row>
    <row r="59" spans="1:11" x14ac:dyDescent="0.25">
      <c r="A59" t="s">
        <v>577</v>
      </c>
      <c r="B59" t="s">
        <v>145</v>
      </c>
      <c r="C59" s="8">
        <v>33095.944000000003</v>
      </c>
      <c r="D59" s="8">
        <v>0.15</v>
      </c>
      <c r="F59" t="s">
        <v>578</v>
      </c>
      <c r="G59" t="s">
        <v>540</v>
      </c>
      <c r="H59" t="s">
        <v>579</v>
      </c>
      <c r="I59" t="s">
        <v>182</v>
      </c>
      <c r="K59" t="s">
        <v>34</v>
      </c>
    </row>
    <row r="60" spans="1:11" x14ac:dyDescent="0.25">
      <c r="A60" t="s">
        <v>580</v>
      </c>
      <c r="B60" t="s">
        <v>123</v>
      </c>
      <c r="C60" s="8">
        <v>19853.282599999999</v>
      </c>
      <c r="D60" s="8">
        <v>0.15</v>
      </c>
      <c r="E60" t="s">
        <v>545</v>
      </c>
      <c r="F60" t="s">
        <v>546</v>
      </c>
      <c r="G60" t="s">
        <v>543</v>
      </c>
      <c r="H60" t="s">
        <v>547</v>
      </c>
      <c r="I60" t="s">
        <v>548</v>
      </c>
      <c r="J60" t="s">
        <v>166</v>
      </c>
    </row>
    <row r="61" spans="1:11" x14ac:dyDescent="0.25">
      <c r="A61" t="s">
        <v>514</v>
      </c>
      <c r="B61" t="s">
        <v>207</v>
      </c>
      <c r="C61" s="8">
        <v>10640.6</v>
      </c>
      <c r="D61" s="8">
        <v>0.15</v>
      </c>
      <c r="E61" t="s">
        <v>545</v>
      </c>
      <c r="F61" t="s">
        <v>546</v>
      </c>
      <c r="G61" t="s">
        <v>543</v>
      </c>
      <c r="H61" t="s">
        <v>547</v>
      </c>
      <c r="I61" t="s">
        <v>548</v>
      </c>
      <c r="J61" t="s">
        <v>166</v>
      </c>
    </row>
    <row r="62" spans="1:11" x14ac:dyDescent="0.25">
      <c r="A62" t="s">
        <v>514</v>
      </c>
      <c r="B62" t="s">
        <v>207</v>
      </c>
      <c r="C62" s="8">
        <v>36791.921999999999</v>
      </c>
      <c r="D62" s="8">
        <v>0.15</v>
      </c>
      <c r="F62" t="s">
        <v>539</v>
      </c>
      <c r="G62" t="s">
        <v>540</v>
      </c>
    </row>
    <row r="63" spans="1:11" x14ac:dyDescent="0.25">
      <c r="A63" t="s">
        <v>514</v>
      </c>
      <c r="B63" t="s">
        <v>223</v>
      </c>
      <c r="C63" s="8">
        <v>16223.286</v>
      </c>
      <c r="D63" s="8">
        <v>0.15</v>
      </c>
      <c r="E63" t="s">
        <v>545</v>
      </c>
      <c r="F63" t="s">
        <v>546</v>
      </c>
      <c r="G63" t="s">
        <v>543</v>
      </c>
      <c r="H63" t="s">
        <v>547</v>
      </c>
      <c r="I63" t="s">
        <v>548</v>
      </c>
      <c r="J63" t="s">
        <v>166</v>
      </c>
    </row>
    <row r="64" spans="1:11" x14ac:dyDescent="0.25">
      <c r="A64" t="s">
        <v>514</v>
      </c>
      <c r="B64" t="s">
        <v>581</v>
      </c>
      <c r="C64" s="8">
        <v>18313.312999999998</v>
      </c>
      <c r="D64" s="8">
        <v>0.15</v>
      </c>
      <c r="E64" t="s">
        <v>545</v>
      </c>
      <c r="F64" t="s">
        <v>546</v>
      </c>
      <c r="G64" t="s">
        <v>543</v>
      </c>
      <c r="H64" t="s">
        <v>547</v>
      </c>
      <c r="I64" t="s">
        <v>548</v>
      </c>
      <c r="J64" t="s">
        <v>166</v>
      </c>
    </row>
    <row r="65" spans="1:10" x14ac:dyDescent="0.25">
      <c r="A65" t="s">
        <v>514</v>
      </c>
      <c r="B65" t="s">
        <v>210</v>
      </c>
      <c r="C65" s="8">
        <v>13266.34</v>
      </c>
      <c r="D65" s="8">
        <v>0.15</v>
      </c>
      <c r="E65" t="s">
        <v>545</v>
      </c>
      <c r="F65" t="s">
        <v>546</v>
      </c>
      <c r="G65" t="s">
        <v>543</v>
      </c>
      <c r="H65" t="s">
        <v>547</v>
      </c>
      <c r="I65" t="s">
        <v>548</v>
      </c>
      <c r="J65" t="s">
        <v>166</v>
      </c>
    </row>
    <row r="66" spans="1:10" x14ac:dyDescent="0.25">
      <c r="A66" t="s">
        <v>516</v>
      </c>
      <c r="B66" t="s">
        <v>223</v>
      </c>
      <c r="C66" s="8">
        <v>17882.599999999999</v>
      </c>
      <c r="D66" s="8">
        <v>0.15</v>
      </c>
      <c r="E66" t="s">
        <v>545</v>
      </c>
      <c r="F66" t="s">
        <v>546</v>
      </c>
      <c r="G66" t="s">
        <v>543</v>
      </c>
      <c r="H66" t="s">
        <v>547</v>
      </c>
      <c r="I66" t="s">
        <v>548</v>
      </c>
      <c r="J66" t="s">
        <v>166</v>
      </c>
    </row>
    <row r="67" spans="1:10" x14ac:dyDescent="0.25">
      <c r="A67" t="s">
        <v>516</v>
      </c>
      <c r="B67" t="s">
        <v>226</v>
      </c>
      <c r="C67" s="8">
        <v>16666.759999999998</v>
      </c>
      <c r="D67" s="8">
        <v>0.15</v>
      </c>
      <c r="E67" t="s">
        <v>545</v>
      </c>
      <c r="F67" t="s">
        <v>546</v>
      </c>
      <c r="G67" t="s">
        <v>543</v>
      </c>
      <c r="H67" t="s">
        <v>547</v>
      </c>
      <c r="I67" t="s">
        <v>548</v>
      </c>
      <c r="J67" t="s">
        <v>166</v>
      </c>
    </row>
    <row r="68" spans="1:10" x14ac:dyDescent="0.25">
      <c r="A68" t="s">
        <v>516</v>
      </c>
      <c r="B68" t="s">
        <v>246</v>
      </c>
      <c r="C68" s="8">
        <v>17615.759999999998</v>
      </c>
      <c r="D68" s="8">
        <v>0.15</v>
      </c>
      <c r="E68" t="s">
        <v>545</v>
      </c>
      <c r="F68" t="s">
        <v>546</v>
      </c>
      <c r="G68" t="s">
        <v>543</v>
      </c>
      <c r="H68" t="s">
        <v>547</v>
      </c>
      <c r="I68" t="s">
        <v>548</v>
      </c>
      <c r="J68" t="s">
        <v>166</v>
      </c>
    </row>
    <row r="69" spans="1:10" x14ac:dyDescent="0.25">
      <c r="A69" t="s">
        <v>516</v>
      </c>
      <c r="B69" t="s">
        <v>228</v>
      </c>
      <c r="C69" s="8">
        <v>17844.400000000001</v>
      </c>
      <c r="D69" s="8">
        <v>0.15</v>
      </c>
      <c r="E69" t="s">
        <v>545</v>
      </c>
      <c r="F69" t="s">
        <v>546</v>
      </c>
      <c r="G69" t="s">
        <v>543</v>
      </c>
      <c r="H69" t="s">
        <v>547</v>
      </c>
      <c r="I69" t="s">
        <v>548</v>
      </c>
      <c r="J69" t="s">
        <v>166</v>
      </c>
    </row>
    <row r="70" spans="1:10" x14ac:dyDescent="0.25">
      <c r="A70" t="s">
        <v>518</v>
      </c>
      <c r="B70" t="s">
        <v>239</v>
      </c>
      <c r="C70" s="8">
        <v>10011.200000000001</v>
      </c>
      <c r="D70" s="8">
        <v>0.15</v>
      </c>
      <c r="E70" t="s">
        <v>545</v>
      </c>
      <c r="F70" t="s">
        <v>546</v>
      </c>
      <c r="G70" t="s">
        <v>543</v>
      </c>
      <c r="H70" t="s">
        <v>547</v>
      </c>
      <c r="I70" t="s">
        <v>548</v>
      </c>
      <c r="J70" t="s">
        <v>166</v>
      </c>
    </row>
    <row r="71" spans="1:10" x14ac:dyDescent="0.25">
      <c r="A71" t="s">
        <v>519</v>
      </c>
      <c r="B71" t="s">
        <v>246</v>
      </c>
      <c r="C71" s="8">
        <v>2408694.25</v>
      </c>
      <c r="D71" s="8">
        <v>0.15</v>
      </c>
      <c r="E71" t="s">
        <v>545</v>
      </c>
      <c r="F71" t="s">
        <v>546</v>
      </c>
      <c r="G71" t="s">
        <v>543</v>
      </c>
      <c r="H71" t="s">
        <v>547</v>
      </c>
      <c r="I71" t="s">
        <v>548</v>
      </c>
      <c r="J71" t="s">
        <v>166</v>
      </c>
    </row>
    <row r="72" spans="1:10" x14ac:dyDescent="0.25">
      <c r="A72" t="s">
        <v>520</v>
      </c>
      <c r="B72" t="s">
        <v>521</v>
      </c>
      <c r="C72" s="8">
        <v>18274.650000000001</v>
      </c>
      <c r="D72" s="8">
        <v>0.15</v>
      </c>
      <c r="E72" t="s">
        <v>545</v>
      </c>
      <c r="F72" t="s">
        <v>546</v>
      </c>
      <c r="G72" t="s">
        <v>543</v>
      </c>
      <c r="H72" t="s">
        <v>547</v>
      </c>
      <c r="I72" t="s">
        <v>548</v>
      </c>
      <c r="J72" t="s">
        <v>166</v>
      </c>
    </row>
    <row r="73" spans="1:10" x14ac:dyDescent="0.25">
      <c r="A73" t="s">
        <v>522</v>
      </c>
      <c r="B73" t="s">
        <v>254</v>
      </c>
      <c r="C73" s="8">
        <v>17830.400000000001</v>
      </c>
      <c r="D73" s="8">
        <v>0.15</v>
      </c>
      <c r="E73" t="s">
        <v>545</v>
      </c>
      <c r="F73" t="s">
        <v>546</v>
      </c>
      <c r="G73" t="s">
        <v>543</v>
      </c>
      <c r="H73" t="s">
        <v>547</v>
      </c>
      <c r="I73" t="s">
        <v>548</v>
      </c>
      <c r="J73" t="s">
        <v>166</v>
      </c>
    </row>
    <row r="74" spans="1:10" x14ac:dyDescent="0.25">
      <c r="A74" t="s">
        <v>582</v>
      </c>
      <c r="B74" t="s">
        <v>203</v>
      </c>
      <c r="C74" s="8">
        <v>15021</v>
      </c>
      <c r="D74" s="8">
        <v>0.15</v>
      </c>
      <c r="E74" t="s">
        <v>545</v>
      </c>
      <c r="F74" t="s">
        <v>546</v>
      </c>
      <c r="G74" t="s">
        <v>543</v>
      </c>
      <c r="H74" t="s">
        <v>547</v>
      </c>
      <c r="I74" t="s">
        <v>548</v>
      </c>
      <c r="J74" t="s">
        <v>166</v>
      </c>
    </row>
    <row r="75" spans="1:10" x14ac:dyDescent="0.25">
      <c r="A75" t="s">
        <v>583</v>
      </c>
      <c r="B75" t="s">
        <v>584</v>
      </c>
      <c r="C75" s="8">
        <v>59328.58</v>
      </c>
      <c r="E75" t="s">
        <v>24</v>
      </c>
      <c r="F75" t="s">
        <v>585</v>
      </c>
      <c r="G75" t="s">
        <v>552</v>
      </c>
      <c r="H75" t="s">
        <v>586</v>
      </c>
    </row>
    <row r="76" spans="1:10" x14ac:dyDescent="0.25">
      <c r="A76" t="s">
        <v>587</v>
      </c>
      <c r="B76" t="s">
        <v>560</v>
      </c>
      <c r="C76" s="8">
        <v>19217.5</v>
      </c>
      <c r="D76" s="8">
        <v>0.15</v>
      </c>
      <c r="E76" t="s">
        <v>545</v>
      </c>
      <c r="F76" t="s">
        <v>546</v>
      </c>
      <c r="G76" t="s">
        <v>543</v>
      </c>
      <c r="H76" t="s">
        <v>547</v>
      </c>
      <c r="I76" t="s">
        <v>548</v>
      </c>
      <c r="J76" t="s">
        <v>166</v>
      </c>
    </row>
    <row r="77" spans="1:10" x14ac:dyDescent="0.25">
      <c r="A77" t="s">
        <v>523</v>
      </c>
      <c r="B77" t="s">
        <v>257</v>
      </c>
      <c r="C77" s="8">
        <v>35688.25</v>
      </c>
      <c r="D77" s="8">
        <v>0.15</v>
      </c>
      <c r="F77" t="s">
        <v>588</v>
      </c>
      <c r="G77" t="s">
        <v>540</v>
      </c>
    </row>
    <row r="78" spans="1:10" x14ac:dyDescent="0.25">
      <c r="A78" t="s">
        <v>523</v>
      </c>
      <c r="B78" t="s">
        <v>257</v>
      </c>
      <c r="C78" s="8">
        <v>36082.167999999998</v>
      </c>
      <c r="D78" s="8">
        <v>0.15</v>
      </c>
      <c r="F78" t="s">
        <v>539</v>
      </c>
      <c r="G78" t="s">
        <v>540</v>
      </c>
    </row>
    <row r="79" spans="1:10" x14ac:dyDescent="0.25">
      <c r="A79" t="s">
        <v>523</v>
      </c>
      <c r="B79" t="s">
        <v>257</v>
      </c>
      <c r="C79" s="8">
        <v>2409863.324</v>
      </c>
      <c r="D79" s="8">
        <v>0.15</v>
      </c>
      <c r="E79" t="s">
        <v>545</v>
      </c>
      <c r="F79" t="s">
        <v>546</v>
      </c>
      <c r="G79" t="s">
        <v>543</v>
      </c>
      <c r="H79" t="s">
        <v>547</v>
      </c>
      <c r="I79" t="s">
        <v>548</v>
      </c>
      <c r="J79" t="s">
        <v>166</v>
      </c>
    </row>
    <row r="80" spans="1:10" x14ac:dyDescent="0.25">
      <c r="A80" t="s">
        <v>589</v>
      </c>
      <c r="B80" t="s">
        <v>71</v>
      </c>
      <c r="C80" s="8">
        <v>14935.3</v>
      </c>
      <c r="D80" s="8">
        <v>0.15</v>
      </c>
      <c r="E80" t="s">
        <v>545</v>
      </c>
      <c r="F80" t="s">
        <v>546</v>
      </c>
      <c r="G80" t="s">
        <v>543</v>
      </c>
      <c r="H80" t="s">
        <v>547</v>
      </c>
      <c r="I80" t="s">
        <v>548</v>
      </c>
      <c r="J80" t="s">
        <v>166</v>
      </c>
    </row>
    <row r="81" spans="1:10" x14ac:dyDescent="0.25">
      <c r="A81" t="s">
        <v>589</v>
      </c>
      <c r="B81" t="s">
        <v>210</v>
      </c>
      <c r="C81" s="8">
        <v>2402849.4500000002</v>
      </c>
      <c r="D81" s="8">
        <v>0.15</v>
      </c>
      <c r="E81" t="s">
        <v>545</v>
      </c>
      <c r="F81" t="s">
        <v>546</v>
      </c>
      <c r="G81" t="s">
        <v>543</v>
      </c>
      <c r="H81" t="s">
        <v>547</v>
      </c>
      <c r="I81" t="s">
        <v>548</v>
      </c>
      <c r="J81" t="s">
        <v>166</v>
      </c>
    </row>
    <row r="82" spans="1:10" x14ac:dyDescent="0.25">
      <c r="A82" t="s">
        <v>589</v>
      </c>
      <c r="B82" t="s">
        <v>590</v>
      </c>
      <c r="C82" s="8">
        <v>19229.400000000001</v>
      </c>
      <c r="D82" s="8">
        <v>0.15</v>
      </c>
      <c r="E82" t="s">
        <v>545</v>
      </c>
      <c r="F82" t="s">
        <v>546</v>
      </c>
      <c r="G82" t="s">
        <v>543</v>
      </c>
      <c r="H82" t="s">
        <v>547</v>
      </c>
      <c r="I82" t="s">
        <v>548</v>
      </c>
      <c r="J82" t="s">
        <v>166</v>
      </c>
    </row>
    <row r="83" spans="1:10" x14ac:dyDescent="0.25">
      <c r="A83" t="s">
        <v>589</v>
      </c>
      <c r="B83" t="s">
        <v>203</v>
      </c>
      <c r="C83" s="8">
        <v>2402854.389</v>
      </c>
      <c r="D83" s="8">
        <v>0.15</v>
      </c>
      <c r="E83" t="s">
        <v>545</v>
      </c>
      <c r="F83" t="s">
        <v>546</v>
      </c>
      <c r="G83" t="s">
        <v>543</v>
      </c>
      <c r="H83" t="s">
        <v>547</v>
      </c>
      <c r="I83" t="s">
        <v>548</v>
      </c>
      <c r="J83" t="s">
        <v>166</v>
      </c>
    </row>
    <row r="84" spans="1:10" x14ac:dyDescent="0.25">
      <c r="A84" t="s">
        <v>589</v>
      </c>
      <c r="B84" t="s">
        <v>591</v>
      </c>
      <c r="C84" s="8">
        <v>19241.45</v>
      </c>
      <c r="D84" s="8">
        <v>0.15</v>
      </c>
      <c r="E84" t="s">
        <v>545</v>
      </c>
      <c r="F84" t="s">
        <v>546</v>
      </c>
      <c r="G84" t="s">
        <v>543</v>
      </c>
      <c r="H84" t="s">
        <v>547</v>
      </c>
      <c r="I84" t="s">
        <v>548</v>
      </c>
      <c r="J84" t="s">
        <v>166</v>
      </c>
    </row>
    <row r="85" spans="1:10" x14ac:dyDescent="0.25">
      <c r="A85" t="s">
        <v>589</v>
      </c>
      <c r="B85" t="s">
        <v>246</v>
      </c>
      <c r="C85" s="8">
        <v>10175.1</v>
      </c>
      <c r="D85" s="8">
        <v>0.15</v>
      </c>
      <c r="E85" t="s">
        <v>545</v>
      </c>
      <c r="F85" t="s">
        <v>546</v>
      </c>
      <c r="G85" t="s">
        <v>543</v>
      </c>
      <c r="H85" t="s">
        <v>547</v>
      </c>
      <c r="I85" t="s">
        <v>548</v>
      </c>
      <c r="J85" t="s">
        <v>166</v>
      </c>
    </row>
    <row r="86" spans="1:10" x14ac:dyDescent="0.25">
      <c r="A86" t="s">
        <v>589</v>
      </c>
      <c r="B86" t="s">
        <v>592</v>
      </c>
      <c r="C86" s="8">
        <v>19645.900000000001</v>
      </c>
      <c r="D86" s="8">
        <v>0.15</v>
      </c>
      <c r="E86" t="s">
        <v>545</v>
      </c>
      <c r="F86" t="s">
        <v>546</v>
      </c>
      <c r="G86" t="s">
        <v>543</v>
      </c>
      <c r="H86" t="s">
        <v>547</v>
      </c>
      <c r="I86" t="s">
        <v>548</v>
      </c>
      <c r="J86" t="s">
        <v>166</v>
      </c>
    </row>
    <row r="87" spans="1:10" x14ac:dyDescent="0.25">
      <c r="A87" t="s">
        <v>524</v>
      </c>
      <c r="B87" t="s">
        <v>67</v>
      </c>
      <c r="C87" s="8">
        <v>18724.12</v>
      </c>
      <c r="D87" s="8">
        <v>0.15</v>
      </c>
      <c r="E87" t="s">
        <v>545</v>
      </c>
      <c r="F87" t="s">
        <v>546</v>
      </c>
      <c r="G87" t="s">
        <v>543</v>
      </c>
      <c r="H87" t="s">
        <v>547</v>
      </c>
      <c r="I87" t="s">
        <v>548</v>
      </c>
      <c r="J87" t="s">
        <v>166</v>
      </c>
    </row>
    <row r="88" spans="1:10" x14ac:dyDescent="0.25">
      <c r="A88" t="s">
        <v>524</v>
      </c>
      <c r="B88" t="s">
        <v>67</v>
      </c>
      <c r="C88" s="8">
        <v>34628.57</v>
      </c>
      <c r="D88" s="8">
        <v>0.15</v>
      </c>
      <c r="F88" t="s">
        <v>539</v>
      </c>
      <c r="G88" t="s">
        <v>540</v>
      </c>
    </row>
    <row r="89" spans="1:10" x14ac:dyDescent="0.25">
      <c r="A89" t="s">
        <v>593</v>
      </c>
      <c r="B89" t="s">
        <v>594</v>
      </c>
      <c r="C89" s="8">
        <v>18985.936000000002</v>
      </c>
      <c r="D89" s="8">
        <v>0.15</v>
      </c>
      <c r="E89" t="s">
        <v>545</v>
      </c>
      <c r="F89" t="s">
        <v>546</v>
      </c>
      <c r="G89" t="s">
        <v>543</v>
      </c>
      <c r="H89" t="s">
        <v>547</v>
      </c>
      <c r="I89" t="s">
        <v>548</v>
      </c>
      <c r="J89" t="s">
        <v>166</v>
      </c>
    </row>
    <row r="90" spans="1:10" x14ac:dyDescent="0.25">
      <c r="A90" t="s">
        <v>526</v>
      </c>
      <c r="B90" t="s">
        <v>254</v>
      </c>
      <c r="C90" s="8">
        <v>19903.52</v>
      </c>
      <c r="D90" s="8">
        <v>0</v>
      </c>
      <c r="F90" t="s">
        <v>595</v>
      </c>
      <c r="G90" t="s">
        <v>543</v>
      </c>
      <c r="H90" t="s">
        <v>596</v>
      </c>
      <c r="I90" t="s">
        <v>597</v>
      </c>
    </row>
    <row r="91" spans="1:10" x14ac:dyDescent="0.25">
      <c r="A91" t="s">
        <v>526</v>
      </c>
      <c r="B91" t="s">
        <v>254</v>
      </c>
      <c r="C91" s="8">
        <v>23201.5</v>
      </c>
      <c r="D91" s="8">
        <v>0</v>
      </c>
      <c r="F91" t="s">
        <v>598</v>
      </c>
      <c r="G91" t="s">
        <v>543</v>
      </c>
      <c r="H91" t="s">
        <v>596</v>
      </c>
      <c r="I91" t="s">
        <v>597</v>
      </c>
    </row>
    <row r="92" spans="1:10" x14ac:dyDescent="0.25">
      <c r="A92" t="s">
        <v>526</v>
      </c>
      <c r="B92" t="s">
        <v>254</v>
      </c>
      <c r="C92" s="8">
        <v>23244.974999999999</v>
      </c>
      <c r="D92" s="8">
        <v>0</v>
      </c>
      <c r="F92" t="s">
        <v>599</v>
      </c>
      <c r="G92" t="s">
        <v>543</v>
      </c>
      <c r="H92" t="s">
        <v>596</v>
      </c>
      <c r="I92" t="s">
        <v>597</v>
      </c>
    </row>
    <row r="93" spans="1:10" x14ac:dyDescent="0.25">
      <c r="A93" t="s">
        <v>526</v>
      </c>
      <c r="B93" t="s">
        <v>254</v>
      </c>
      <c r="C93" s="8">
        <v>23245.4</v>
      </c>
      <c r="D93" s="8">
        <v>0</v>
      </c>
      <c r="F93" t="s">
        <v>598</v>
      </c>
      <c r="G93" t="s">
        <v>543</v>
      </c>
      <c r="H93" t="s">
        <v>596</v>
      </c>
      <c r="I93" t="s">
        <v>597</v>
      </c>
    </row>
    <row r="94" spans="1:10" x14ac:dyDescent="0.25">
      <c r="A94" t="s">
        <v>526</v>
      </c>
      <c r="B94" t="s">
        <v>254</v>
      </c>
      <c r="C94" s="8">
        <v>23290.2</v>
      </c>
      <c r="D94" s="8">
        <v>0</v>
      </c>
      <c r="F94" t="s">
        <v>598</v>
      </c>
      <c r="G94" t="s">
        <v>543</v>
      </c>
      <c r="H94" t="s">
        <v>596</v>
      </c>
      <c r="I94" t="s">
        <v>597</v>
      </c>
    </row>
    <row r="95" spans="1:10" x14ac:dyDescent="0.25">
      <c r="A95" t="s">
        <v>526</v>
      </c>
      <c r="B95" t="s">
        <v>254</v>
      </c>
      <c r="C95" s="8">
        <v>23290.7</v>
      </c>
      <c r="D95" s="8">
        <v>0</v>
      </c>
      <c r="F95" t="s">
        <v>598</v>
      </c>
      <c r="G95" t="s">
        <v>543</v>
      </c>
      <c r="H95" t="s">
        <v>596</v>
      </c>
      <c r="I95" t="s">
        <v>597</v>
      </c>
    </row>
    <row r="96" spans="1:10" x14ac:dyDescent="0.25">
      <c r="A96" t="s">
        <v>526</v>
      </c>
      <c r="B96" t="s">
        <v>254</v>
      </c>
      <c r="C96" s="8">
        <v>23335.5</v>
      </c>
      <c r="D96" s="8">
        <v>0</v>
      </c>
      <c r="F96" t="s">
        <v>598</v>
      </c>
      <c r="G96" t="s">
        <v>543</v>
      </c>
      <c r="H96" t="s">
        <v>596</v>
      </c>
      <c r="I96" t="s">
        <v>597</v>
      </c>
    </row>
    <row r="97" spans="1:9" x14ac:dyDescent="0.25">
      <c r="A97" t="s">
        <v>526</v>
      </c>
      <c r="B97" t="s">
        <v>254</v>
      </c>
      <c r="C97" s="8">
        <v>23382.2</v>
      </c>
      <c r="D97" s="8">
        <v>0</v>
      </c>
      <c r="F97" t="s">
        <v>598</v>
      </c>
      <c r="G97" t="s">
        <v>543</v>
      </c>
      <c r="H97" t="s">
        <v>596</v>
      </c>
      <c r="I97" t="s">
        <v>597</v>
      </c>
    </row>
    <row r="98" spans="1:9" x14ac:dyDescent="0.25">
      <c r="A98" t="s">
        <v>526</v>
      </c>
      <c r="B98" t="s">
        <v>254</v>
      </c>
      <c r="C98" s="8">
        <v>23426.400000000001</v>
      </c>
      <c r="D98" s="8">
        <v>0</v>
      </c>
      <c r="F98" t="s">
        <v>598</v>
      </c>
      <c r="G98" t="s">
        <v>543</v>
      </c>
      <c r="H98" t="s">
        <v>596</v>
      </c>
      <c r="I98" t="s">
        <v>597</v>
      </c>
    </row>
    <row r="99" spans="1:9" x14ac:dyDescent="0.25">
      <c r="A99" t="s">
        <v>526</v>
      </c>
      <c r="B99" t="s">
        <v>254</v>
      </c>
      <c r="C99" s="8">
        <v>23470.6</v>
      </c>
      <c r="D99" s="8">
        <v>0</v>
      </c>
      <c r="F99" t="s">
        <v>599</v>
      </c>
      <c r="G99" t="s">
        <v>543</v>
      </c>
      <c r="H99" t="s">
        <v>596</v>
      </c>
      <c r="I99" t="s">
        <v>597</v>
      </c>
    </row>
    <row r="100" spans="1:9" x14ac:dyDescent="0.25">
      <c r="A100" t="s">
        <v>526</v>
      </c>
      <c r="B100" t="s">
        <v>254</v>
      </c>
      <c r="C100" s="8">
        <v>23520.1</v>
      </c>
      <c r="D100" s="8">
        <v>0</v>
      </c>
      <c r="F100" t="s">
        <v>598</v>
      </c>
      <c r="G100" t="s">
        <v>543</v>
      </c>
      <c r="H100" t="s">
        <v>596</v>
      </c>
      <c r="I100" t="s">
        <v>597</v>
      </c>
    </row>
    <row r="101" spans="1:9" x14ac:dyDescent="0.25">
      <c r="A101" t="s">
        <v>526</v>
      </c>
      <c r="B101" t="s">
        <v>254</v>
      </c>
      <c r="C101" s="8">
        <v>23560</v>
      </c>
      <c r="D101" s="8">
        <v>0</v>
      </c>
      <c r="F101" t="s">
        <v>600</v>
      </c>
      <c r="G101" t="s">
        <v>543</v>
      </c>
      <c r="H101" t="s">
        <v>596</v>
      </c>
      <c r="I101" t="s">
        <v>597</v>
      </c>
    </row>
    <row r="102" spans="1:9" x14ac:dyDescent="0.25">
      <c r="A102" t="s">
        <v>526</v>
      </c>
      <c r="B102" t="s">
        <v>254</v>
      </c>
      <c r="C102" s="8">
        <v>23562.3</v>
      </c>
      <c r="D102" s="8">
        <v>0</v>
      </c>
      <c r="F102" t="s">
        <v>598</v>
      </c>
      <c r="G102" t="s">
        <v>543</v>
      </c>
      <c r="H102" t="s">
        <v>596</v>
      </c>
      <c r="I102" t="s">
        <v>597</v>
      </c>
    </row>
    <row r="103" spans="1:9" x14ac:dyDescent="0.25">
      <c r="A103" t="s">
        <v>526</v>
      </c>
      <c r="B103" t="s">
        <v>254</v>
      </c>
      <c r="C103" s="8">
        <v>23606.82</v>
      </c>
      <c r="D103" s="8">
        <v>0</v>
      </c>
      <c r="F103" t="s">
        <v>601</v>
      </c>
      <c r="G103" t="s">
        <v>543</v>
      </c>
      <c r="H103" t="s">
        <v>596</v>
      </c>
      <c r="I103" t="s">
        <v>597</v>
      </c>
    </row>
    <row r="104" spans="1:9" x14ac:dyDescent="0.25">
      <c r="A104" t="s">
        <v>526</v>
      </c>
      <c r="B104" t="s">
        <v>254</v>
      </c>
      <c r="C104" s="8">
        <v>23607</v>
      </c>
      <c r="D104" s="8">
        <v>0</v>
      </c>
      <c r="F104" t="s">
        <v>600</v>
      </c>
      <c r="G104" t="s">
        <v>543</v>
      </c>
      <c r="H104" t="s">
        <v>596</v>
      </c>
      <c r="I104" t="s">
        <v>597</v>
      </c>
    </row>
    <row r="105" spans="1:9" x14ac:dyDescent="0.25">
      <c r="A105" t="s">
        <v>526</v>
      </c>
      <c r="B105" t="s">
        <v>254</v>
      </c>
      <c r="C105" s="8">
        <v>23651.731</v>
      </c>
      <c r="D105" s="8">
        <v>0</v>
      </c>
      <c r="F105" t="s">
        <v>599</v>
      </c>
      <c r="G105" t="s">
        <v>543</v>
      </c>
      <c r="H105" t="s">
        <v>596</v>
      </c>
      <c r="I105" t="s">
        <v>597</v>
      </c>
    </row>
    <row r="106" spans="1:9" x14ac:dyDescent="0.25">
      <c r="A106" t="s">
        <v>526</v>
      </c>
      <c r="B106" t="s">
        <v>254</v>
      </c>
      <c r="C106" s="8">
        <v>23652</v>
      </c>
      <c r="D106" s="8">
        <v>0</v>
      </c>
      <c r="F106" t="s">
        <v>600</v>
      </c>
      <c r="G106" t="s">
        <v>543</v>
      </c>
      <c r="H106" t="s">
        <v>596</v>
      </c>
      <c r="I106" t="s">
        <v>597</v>
      </c>
    </row>
    <row r="107" spans="1:9" x14ac:dyDescent="0.25">
      <c r="A107" t="s">
        <v>526</v>
      </c>
      <c r="B107" t="s">
        <v>254</v>
      </c>
      <c r="C107" s="8">
        <v>23697</v>
      </c>
      <c r="D107" s="8">
        <v>0</v>
      </c>
      <c r="F107" t="s">
        <v>600</v>
      </c>
      <c r="G107" t="s">
        <v>543</v>
      </c>
      <c r="H107" t="s">
        <v>596</v>
      </c>
      <c r="I107" t="s">
        <v>597</v>
      </c>
    </row>
    <row r="108" spans="1:9" x14ac:dyDescent="0.25">
      <c r="A108" t="s">
        <v>526</v>
      </c>
      <c r="B108" t="s">
        <v>254</v>
      </c>
      <c r="C108" s="8">
        <v>23742</v>
      </c>
      <c r="D108" s="8">
        <v>0</v>
      </c>
      <c r="F108" t="s">
        <v>600</v>
      </c>
      <c r="G108" t="s">
        <v>543</v>
      </c>
      <c r="H108" t="s">
        <v>596</v>
      </c>
      <c r="I108" t="s">
        <v>597</v>
      </c>
    </row>
    <row r="109" spans="1:9" x14ac:dyDescent="0.25">
      <c r="A109" t="s">
        <v>526</v>
      </c>
      <c r="B109" t="s">
        <v>254</v>
      </c>
      <c r="C109" s="8">
        <v>23789.7</v>
      </c>
      <c r="D109" s="8">
        <v>0</v>
      </c>
      <c r="F109" t="s">
        <v>602</v>
      </c>
      <c r="G109" t="s">
        <v>543</v>
      </c>
      <c r="H109" t="s">
        <v>596</v>
      </c>
      <c r="I109" t="s">
        <v>597</v>
      </c>
    </row>
    <row r="110" spans="1:9" x14ac:dyDescent="0.25">
      <c r="A110" t="s">
        <v>526</v>
      </c>
      <c r="B110" t="s">
        <v>254</v>
      </c>
      <c r="C110" s="8">
        <v>23877.517</v>
      </c>
      <c r="D110" s="8">
        <v>0</v>
      </c>
      <c r="F110" t="s">
        <v>599</v>
      </c>
      <c r="G110" t="s">
        <v>543</v>
      </c>
      <c r="H110" t="s">
        <v>596</v>
      </c>
      <c r="I110" t="s">
        <v>597</v>
      </c>
    </row>
    <row r="111" spans="1:9" x14ac:dyDescent="0.25">
      <c r="A111" t="s">
        <v>526</v>
      </c>
      <c r="B111" t="s">
        <v>254</v>
      </c>
      <c r="C111" s="8">
        <v>23923.562000000002</v>
      </c>
      <c r="D111" s="8">
        <v>0</v>
      </c>
      <c r="F111" t="s">
        <v>599</v>
      </c>
      <c r="G111" t="s">
        <v>543</v>
      </c>
      <c r="H111" t="s">
        <v>596</v>
      </c>
      <c r="I111" t="s">
        <v>597</v>
      </c>
    </row>
    <row r="112" spans="1:9" x14ac:dyDescent="0.25">
      <c r="A112" t="s">
        <v>526</v>
      </c>
      <c r="B112" t="s">
        <v>254</v>
      </c>
      <c r="C112" s="8">
        <v>23967.607</v>
      </c>
      <c r="D112" s="8">
        <v>0</v>
      </c>
      <c r="F112" t="s">
        <v>599</v>
      </c>
      <c r="G112" t="s">
        <v>543</v>
      </c>
      <c r="H112" t="s">
        <v>596</v>
      </c>
      <c r="I112" t="s">
        <v>597</v>
      </c>
    </row>
    <row r="113" spans="1:9" x14ac:dyDescent="0.25">
      <c r="A113" t="s">
        <v>526</v>
      </c>
      <c r="B113" t="s">
        <v>254</v>
      </c>
      <c r="C113" s="8">
        <v>24013.406999999999</v>
      </c>
      <c r="D113" s="8">
        <v>0</v>
      </c>
      <c r="F113" t="s">
        <v>599</v>
      </c>
      <c r="G113" t="s">
        <v>543</v>
      </c>
      <c r="H113" t="s">
        <v>596</v>
      </c>
      <c r="I113" t="s">
        <v>597</v>
      </c>
    </row>
    <row r="114" spans="1:9" x14ac:dyDescent="0.25">
      <c r="A114" t="s">
        <v>526</v>
      </c>
      <c r="B114" t="s">
        <v>254</v>
      </c>
      <c r="C114" s="8">
        <v>24015</v>
      </c>
      <c r="D114" s="8">
        <v>0</v>
      </c>
      <c r="F114" t="s">
        <v>600</v>
      </c>
      <c r="G114" t="s">
        <v>543</v>
      </c>
      <c r="H114" t="s">
        <v>596</v>
      </c>
      <c r="I114" t="s">
        <v>597</v>
      </c>
    </row>
    <row r="115" spans="1:9" x14ac:dyDescent="0.25">
      <c r="A115" t="s">
        <v>526</v>
      </c>
      <c r="B115" t="s">
        <v>254</v>
      </c>
      <c r="C115" s="8">
        <v>24060</v>
      </c>
      <c r="D115" s="8">
        <v>0</v>
      </c>
      <c r="F115" t="s">
        <v>600</v>
      </c>
      <c r="G115" t="s">
        <v>543</v>
      </c>
      <c r="H115" t="s">
        <v>596</v>
      </c>
      <c r="I115" t="s">
        <v>597</v>
      </c>
    </row>
    <row r="116" spans="1:9" x14ac:dyDescent="0.25">
      <c r="A116" t="s">
        <v>526</v>
      </c>
      <c r="B116" t="s">
        <v>254</v>
      </c>
      <c r="C116" s="8">
        <v>24060.1</v>
      </c>
      <c r="D116" s="8">
        <v>0</v>
      </c>
      <c r="F116" t="s">
        <v>602</v>
      </c>
      <c r="G116" t="s">
        <v>543</v>
      </c>
      <c r="H116" t="s">
        <v>596</v>
      </c>
      <c r="I116" t="s">
        <v>597</v>
      </c>
    </row>
    <row r="117" spans="1:9" x14ac:dyDescent="0.25">
      <c r="A117" t="s">
        <v>526</v>
      </c>
      <c r="B117" t="s">
        <v>254</v>
      </c>
      <c r="C117" s="8">
        <v>24105.3</v>
      </c>
      <c r="D117" s="8">
        <v>0</v>
      </c>
      <c r="F117" t="s">
        <v>602</v>
      </c>
      <c r="G117" t="s">
        <v>543</v>
      </c>
      <c r="H117" t="s">
        <v>596</v>
      </c>
      <c r="I117" t="s">
        <v>597</v>
      </c>
    </row>
    <row r="118" spans="1:9" x14ac:dyDescent="0.25">
      <c r="A118" t="s">
        <v>526</v>
      </c>
      <c r="B118" t="s">
        <v>254</v>
      </c>
      <c r="C118" s="8">
        <v>24148.197</v>
      </c>
      <c r="D118" s="8">
        <v>0</v>
      </c>
      <c r="F118" t="s">
        <v>599</v>
      </c>
      <c r="G118" t="s">
        <v>543</v>
      </c>
      <c r="H118" t="s">
        <v>596</v>
      </c>
      <c r="I118" t="s">
        <v>597</v>
      </c>
    </row>
    <row r="119" spans="1:9" x14ac:dyDescent="0.25">
      <c r="A119" t="s">
        <v>526</v>
      </c>
      <c r="B119" t="s">
        <v>254</v>
      </c>
      <c r="C119" s="8">
        <v>24148.9</v>
      </c>
      <c r="D119" s="8">
        <v>0</v>
      </c>
      <c r="F119" t="s">
        <v>602</v>
      </c>
      <c r="G119" t="s">
        <v>543</v>
      </c>
      <c r="H119" t="s">
        <v>596</v>
      </c>
      <c r="I119" t="s">
        <v>597</v>
      </c>
    </row>
    <row r="120" spans="1:9" x14ac:dyDescent="0.25">
      <c r="A120" t="s">
        <v>526</v>
      </c>
      <c r="B120" t="s">
        <v>254</v>
      </c>
      <c r="C120" s="8">
        <v>24150.1</v>
      </c>
      <c r="D120" s="8">
        <v>0</v>
      </c>
      <c r="F120" t="s">
        <v>598</v>
      </c>
      <c r="G120" t="s">
        <v>543</v>
      </c>
      <c r="H120" t="s">
        <v>596</v>
      </c>
      <c r="I120" t="s">
        <v>597</v>
      </c>
    </row>
    <row r="121" spans="1:9" x14ac:dyDescent="0.25">
      <c r="A121" t="s">
        <v>526</v>
      </c>
      <c r="B121" t="s">
        <v>254</v>
      </c>
      <c r="C121" s="8">
        <v>24239.439999999999</v>
      </c>
      <c r="D121" s="8">
        <v>0</v>
      </c>
      <c r="F121" t="s">
        <v>603</v>
      </c>
      <c r="G121" t="s">
        <v>543</v>
      </c>
      <c r="H121" t="s">
        <v>596</v>
      </c>
      <c r="I121" t="s">
        <v>597</v>
      </c>
    </row>
    <row r="122" spans="1:9" x14ac:dyDescent="0.25">
      <c r="A122" t="s">
        <v>526</v>
      </c>
      <c r="B122" t="s">
        <v>254</v>
      </c>
      <c r="C122" s="8">
        <v>24286.2</v>
      </c>
      <c r="D122" s="8">
        <v>0</v>
      </c>
      <c r="F122" t="s">
        <v>602</v>
      </c>
      <c r="G122" t="s">
        <v>543</v>
      </c>
      <c r="H122" t="s">
        <v>596</v>
      </c>
      <c r="I122" t="s">
        <v>597</v>
      </c>
    </row>
    <row r="123" spans="1:9" x14ac:dyDescent="0.25">
      <c r="A123" t="s">
        <v>526</v>
      </c>
      <c r="B123" t="s">
        <v>254</v>
      </c>
      <c r="C123" s="8">
        <v>24329.463</v>
      </c>
      <c r="D123" s="8">
        <v>0</v>
      </c>
      <c r="F123" t="s">
        <v>599</v>
      </c>
      <c r="G123" t="s">
        <v>543</v>
      </c>
      <c r="H123" t="s">
        <v>596</v>
      </c>
      <c r="I123" t="s">
        <v>597</v>
      </c>
    </row>
    <row r="124" spans="1:9" x14ac:dyDescent="0.25">
      <c r="A124" t="s">
        <v>526</v>
      </c>
      <c r="B124" t="s">
        <v>254</v>
      </c>
      <c r="C124" s="8">
        <v>24329.5</v>
      </c>
      <c r="D124" s="8">
        <v>0</v>
      </c>
      <c r="F124" t="s">
        <v>600</v>
      </c>
      <c r="G124" t="s">
        <v>543</v>
      </c>
      <c r="H124" t="s">
        <v>596</v>
      </c>
      <c r="I124" t="s">
        <v>597</v>
      </c>
    </row>
    <row r="125" spans="1:9" x14ac:dyDescent="0.25">
      <c r="A125" t="s">
        <v>526</v>
      </c>
      <c r="B125" t="s">
        <v>254</v>
      </c>
      <c r="C125" s="8">
        <v>24332.5</v>
      </c>
      <c r="D125" s="8">
        <v>0</v>
      </c>
      <c r="F125" t="s">
        <v>602</v>
      </c>
      <c r="G125" t="s">
        <v>543</v>
      </c>
      <c r="H125" t="s">
        <v>596</v>
      </c>
      <c r="I125" t="s">
        <v>597</v>
      </c>
    </row>
    <row r="126" spans="1:9" x14ac:dyDescent="0.25">
      <c r="A126" t="s">
        <v>526</v>
      </c>
      <c r="B126" t="s">
        <v>254</v>
      </c>
      <c r="C126" s="8">
        <v>24373</v>
      </c>
      <c r="D126" s="8">
        <v>0</v>
      </c>
      <c r="F126" t="s">
        <v>600</v>
      </c>
      <c r="G126" t="s">
        <v>543</v>
      </c>
      <c r="H126" t="s">
        <v>596</v>
      </c>
      <c r="I126" t="s">
        <v>597</v>
      </c>
    </row>
    <row r="127" spans="1:9" x14ac:dyDescent="0.25">
      <c r="A127" t="s">
        <v>526</v>
      </c>
      <c r="B127" t="s">
        <v>254</v>
      </c>
      <c r="C127" s="8">
        <v>24374.633000000002</v>
      </c>
      <c r="D127" s="8">
        <v>0</v>
      </c>
      <c r="F127" t="s">
        <v>599</v>
      </c>
      <c r="G127" t="s">
        <v>543</v>
      </c>
      <c r="H127" t="s">
        <v>596</v>
      </c>
      <c r="I127" t="s">
        <v>597</v>
      </c>
    </row>
    <row r="128" spans="1:9" x14ac:dyDescent="0.25">
      <c r="A128" t="s">
        <v>526</v>
      </c>
      <c r="B128" t="s">
        <v>254</v>
      </c>
      <c r="C128" s="8">
        <v>24377.5</v>
      </c>
      <c r="D128" s="8">
        <v>0</v>
      </c>
      <c r="F128" t="s">
        <v>602</v>
      </c>
      <c r="G128" t="s">
        <v>543</v>
      </c>
      <c r="H128" t="s">
        <v>596</v>
      </c>
      <c r="I128" t="s">
        <v>597</v>
      </c>
    </row>
    <row r="129" spans="1:9" x14ac:dyDescent="0.25">
      <c r="A129" t="s">
        <v>526</v>
      </c>
      <c r="B129" t="s">
        <v>254</v>
      </c>
      <c r="C129" s="8">
        <v>24419.532999999999</v>
      </c>
      <c r="D129" s="8">
        <v>0</v>
      </c>
      <c r="F129" t="s">
        <v>599</v>
      </c>
      <c r="G129" t="s">
        <v>543</v>
      </c>
      <c r="H129" t="s">
        <v>596</v>
      </c>
      <c r="I129" t="s">
        <v>597</v>
      </c>
    </row>
    <row r="130" spans="1:9" x14ac:dyDescent="0.25">
      <c r="A130" t="s">
        <v>526</v>
      </c>
      <c r="B130" t="s">
        <v>254</v>
      </c>
      <c r="C130" s="8">
        <v>24420</v>
      </c>
      <c r="D130" s="8">
        <v>0</v>
      </c>
      <c r="F130" t="s">
        <v>600</v>
      </c>
      <c r="G130" t="s">
        <v>543</v>
      </c>
      <c r="H130" t="s">
        <v>596</v>
      </c>
      <c r="I130" t="s">
        <v>597</v>
      </c>
    </row>
    <row r="131" spans="1:9" x14ac:dyDescent="0.25">
      <c r="A131" t="s">
        <v>526</v>
      </c>
      <c r="B131" t="s">
        <v>254</v>
      </c>
      <c r="C131" s="8">
        <v>24421</v>
      </c>
      <c r="D131" s="8">
        <v>0</v>
      </c>
      <c r="F131" t="s">
        <v>602</v>
      </c>
      <c r="G131" t="s">
        <v>543</v>
      </c>
      <c r="H131" t="s">
        <v>596</v>
      </c>
      <c r="I131" t="s">
        <v>597</v>
      </c>
    </row>
    <row r="132" spans="1:9" x14ac:dyDescent="0.25">
      <c r="A132" t="s">
        <v>526</v>
      </c>
      <c r="B132" t="s">
        <v>254</v>
      </c>
      <c r="C132" s="8">
        <v>24465.9</v>
      </c>
      <c r="D132" s="8">
        <v>0</v>
      </c>
      <c r="F132" t="s">
        <v>602</v>
      </c>
      <c r="G132" t="s">
        <v>543</v>
      </c>
      <c r="H132" t="s">
        <v>596</v>
      </c>
      <c r="I132" t="s">
        <v>597</v>
      </c>
    </row>
    <row r="133" spans="1:9" x14ac:dyDescent="0.25">
      <c r="A133" t="s">
        <v>526</v>
      </c>
      <c r="B133" t="s">
        <v>254</v>
      </c>
      <c r="C133" s="8">
        <v>24511.449000000001</v>
      </c>
      <c r="D133" s="8">
        <v>0</v>
      </c>
      <c r="F133" t="s">
        <v>599</v>
      </c>
      <c r="G133" t="s">
        <v>543</v>
      </c>
      <c r="H133" t="s">
        <v>596</v>
      </c>
      <c r="I133" t="s">
        <v>597</v>
      </c>
    </row>
    <row r="134" spans="1:9" x14ac:dyDescent="0.25">
      <c r="A134" t="s">
        <v>526</v>
      </c>
      <c r="B134" t="s">
        <v>254</v>
      </c>
      <c r="C134" s="8">
        <v>24691.9</v>
      </c>
      <c r="D134" s="8">
        <v>0</v>
      </c>
      <c r="F134" t="s">
        <v>598</v>
      </c>
      <c r="G134" t="s">
        <v>543</v>
      </c>
      <c r="H134" t="s">
        <v>596</v>
      </c>
      <c r="I134" t="s">
        <v>597</v>
      </c>
    </row>
    <row r="135" spans="1:9" x14ac:dyDescent="0.25">
      <c r="A135" t="s">
        <v>526</v>
      </c>
      <c r="B135" t="s">
        <v>254</v>
      </c>
      <c r="C135" s="8">
        <v>24692.5</v>
      </c>
      <c r="D135" s="8">
        <v>0</v>
      </c>
      <c r="F135" t="s">
        <v>602</v>
      </c>
      <c r="G135" t="s">
        <v>543</v>
      </c>
      <c r="H135" t="s">
        <v>596</v>
      </c>
      <c r="I135" t="s">
        <v>597</v>
      </c>
    </row>
    <row r="136" spans="1:9" x14ac:dyDescent="0.25">
      <c r="A136" t="s">
        <v>526</v>
      </c>
      <c r="B136" t="s">
        <v>254</v>
      </c>
      <c r="C136" s="8">
        <v>24736.039000000001</v>
      </c>
      <c r="D136" s="8">
        <v>0</v>
      </c>
      <c r="F136" t="s">
        <v>599</v>
      </c>
      <c r="G136" t="s">
        <v>543</v>
      </c>
      <c r="H136" t="s">
        <v>596</v>
      </c>
      <c r="I136" t="s">
        <v>597</v>
      </c>
    </row>
    <row r="137" spans="1:9" x14ac:dyDescent="0.25">
      <c r="A137" t="s">
        <v>526</v>
      </c>
      <c r="B137" t="s">
        <v>254</v>
      </c>
      <c r="C137" s="8">
        <v>24736.624</v>
      </c>
      <c r="D137" s="8">
        <v>0</v>
      </c>
      <c r="F137" t="s">
        <v>599</v>
      </c>
      <c r="G137" t="s">
        <v>543</v>
      </c>
      <c r="H137" t="s">
        <v>596</v>
      </c>
      <c r="I137" t="s">
        <v>597</v>
      </c>
    </row>
    <row r="138" spans="1:9" x14ac:dyDescent="0.25">
      <c r="A138" t="s">
        <v>526</v>
      </c>
      <c r="B138" t="s">
        <v>254</v>
      </c>
      <c r="C138" s="8">
        <v>24736.9</v>
      </c>
      <c r="D138" s="8">
        <v>0</v>
      </c>
      <c r="F138" t="s">
        <v>602</v>
      </c>
      <c r="G138" t="s">
        <v>543</v>
      </c>
      <c r="H138" t="s">
        <v>596</v>
      </c>
      <c r="I138" t="s">
        <v>597</v>
      </c>
    </row>
    <row r="139" spans="1:9" x14ac:dyDescent="0.25">
      <c r="A139" t="s">
        <v>526</v>
      </c>
      <c r="B139" t="s">
        <v>254</v>
      </c>
      <c r="C139" s="8">
        <v>24737</v>
      </c>
      <c r="D139" s="8">
        <v>0</v>
      </c>
      <c r="F139" t="s">
        <v>600</v>
      </c>
      <c r="G139" t="s">
        <v>543</v>
      </c>
      <c r="H139" t="s">
        <v>596</v>
      </c>
      <c r="I139" t="s">
        <v>597</v>
      </c>
    </row>
    <row r="140" spans="1:9" x14ac:dyDescent="0.25">
      <c r="A140" t="s">
        <v>526</v>
      </c>
      <c r="B140" t="s">
        <v>254</v>
      </c>
      <c r="C140" s="8">
        <v>24781.298999999999</v>
      </c>
      <c r="D140" s="8">
        <v>0</v>
      </c>
      <c r="F140" t="s">
        <v>599</v>
      </c>
      <c r="G140" t="s">
        <v>543</v>
      </c>
      <c r="H140" t="s">
        <v>596</v>
      </c>
      <c r="I140" t="s">
        <v>597</v>
      </c>
    </row>
    <row r="141" spans="1:9" x14ac:dyDescent="0.25">
      <c r="A141" t="s">
        <v>526</v>
      </c>
      <c r="B141" t="s">
        <v>254</v>
      </c>
      <c r="C141" s="8">
        <v>24782.04</v>
      </c>
      <c r="D141" s="8">
        <v>0</v>
      </c>
      <c r="F141" t="s">
        <v>604</v>
      </c>
      <c r="G141" t="s">
        <v>543</v>
      </c>
      <c r="H141" t="s">
        <v>596</v>
      </c>
      <c r="I141" t="s">
        <v>597</v>
      </c>
    </row>
    <row r="142" spans="1:9" x14ac:dyDescent="0.25">
      <c r="A142" t="s">
        <v>526</v>
      </c>
      <c r="B142" t="s">
        <v>254</v>
      </c>
      <c r="C142" s="8">
        <v>24783</v>
      </c>
      <c r="D142" s="8">
        <v>0</v>
      </c>
      <c r="F142" t="s">
        <v>600</v>
      </c>
      <c r="G142" t="s">
        <v>543</v>
      </c>
      <c r="H142" t="s">
        <v>596</v>
      </c>
      <c r="I142" t="s">
        <v>597</v>
      </c>
    </row>
    <row r="143" spans="1:9" x14ac:dyDescent="0.25">
      <c r="A143" t="s">
        <v>526</v>
      </c>
      <c r="B143" t="s">
        <v>254</v>
      </c>
      <c r="C143" s="8">
        <v>24826</v>
      </c>
      <c r="D143" s="8">
        <v>0</v>
      </c>
      <c r="F143" t="s">
        <v>600</v>
      </c>
      <c r="G143" t="s">
        <v>543</v>
      </c>
      <c r="H143" t="s">
        <v>596</v>
      </c>
      <c r="I143" t="s">
        <v>597</v>
      </c>
    </row>
    <row r="144" spans="1:9" x14ac:dyDescent="0.25">
      <c r="A144" t="s">
        <v>526</v>
      </c>
      <c r="B144" t="s">
        <v>254</v>
      </c>
      <c r="C144" s="8">
        <v>24916.53</v>
      </c>
      <c r="D144" s="8">
        <v>0</v>
      </c>
      <c r="F144" t="s">
        <v>605</v>
      </c>
      <c r="G144" t="s">
        <v>543</v>
      </c>
      <c r="H144" t="s">
        <v>596</v>
      </c>
      <c r="I144" t="s">
        <v>597</v>
      </c>
    </row>
    <row r="145" spans="1:9" x14ac:dyDescent="0.25">
      <c r="A145" t="s">
        <v>526</v>
      </c>
      <c r="B145" t="s">
        <v>254</v>
      </c>
      <c r="C145" s="8">
        <v>24917.05</v>
      </c>
      <c r="D145" s="8">
        <v>0</v>
      </c>
      <c r="F145" t="s">
        <v>602</v>
      </c>
      <c r="G145" t="s">
        <v>543</v>
      </c>
      <c r="H145" t="s">
        <v>596</v>
      </c>
      <c r="I145" t="s">
        <v>597</v>
      </c>
    </row>
    <row r="146" spans="1:9" x14ac:dyDescent="0.25">
      <c r="A146" t="s">
        <v>526</v>
      </c>
      <c r="B146" t="s">
        <v>254</v>
      </c>
      <c r="C146" s="8">
        <v>25007.83</v>
      </c>
      <c r="D146" s="8">
        <v>0</v>
      </c>
      <c r="F146" t="s">
        <v>606</v>
      </c>
      <c r="G146" t="s">
        <v>543</v>
      </c>
      <c r="H146" t="s">
        <v>596</v>
      </c>
      <c r="I146" t="s">
        <v>597</v>
      </c>
    </row>
    <row r="147" spans="1:9" x14ac:dyDescent="0.25">
      <c r="A147" t="s">
        <v>526</v>
      </c>
      <c r="B147" t="s">
        <v>254</v>
      </c>
      <c r="C147" s="8">
        <v>25097.64</v>
      </c>
      <c r="D147" s="8">
        <v>0</v>
      </c>
      <c r="F147" t="s">
        <v>607</v>
      </c>
      <c r="G147" t="s">
        <v>543</v>
      </c>
      <c r="H147" t="s">
        <v>596</v>
      </c>
      <c r="I147" t="s">
        <v>597</v>
      </c>
    </row>
    <row r="148" spans="1:9" x14ac:dyDescent="0.25">
      <c r="A148" t="s">
        <v>526</v>
      </c>
      <c r="B148" t="s">
        <v>254</v>
      </c>
      <c r="C148" s="8">
        <v>25142.884999999998</v>
      </c>
      <c r="D148" s="8">
        <v>0</v>
      </c>
      <c r="F148" t="s">
        <v>599</v>
      </c>
      <c r="G148" t="s">
        <v>543</v>
      </c>
      <c r="H148" t="s">
        <v>596</v>
      </c>
      <c r="I148" t="s">
        <v>597</v>
      </c>
    </row>
    <row r="149" spans="1:9" x14ac:dyDescent="0.25">
      <c r="A149" t="s">
        <v>526</v>
      </c>
      <c r="B149" t="s">
        <v>254</v>
      </c>
      <c r="C149" s="8">
        <v>25143.424999999999</v>
      </c>
      <c r="D149" s="8">
        <v>0</v>
      </c>
      <c r="F149" t="s">
        <v>599</v>
      </c>
      <c r="G149" t="s">
        <v>543</v>
      </c>
      <c r="H149" t="s">
        <v>596</v>
      </c>
      <c r="I149" t="s">
        <v>597</v>
      </c>
    </row>
    <row r="150" spans="1:9" x14ac:dyDescent="0.25">
      <c r="A150" t="s">
        <v>526</v>
      </c>
      <c r="B150" t="s">
        <v>254</v>
      </c>
      <c r="C150" s="8">
        <v>25143.599999999999</v>
      </c>
      <c r="D150" s="8">
        <v>0</v>
      </c>
      <c r="F150" t="s">
        <v>608</v>
      </c>
      <c r="G150" t="s">
        <v>543</v>
      </c>
      <c r="H150" t="s">
        <v>596</v>
      </c>
      <c r="I150" t="s">
        <v>597</v>
      </c>
    </row>
    <row r="151" spans="1:9" x14ac:dyDescent="0.25">
      <c r="A151" t="s">
        <v>526</v>
      </c>
      <c r="B151" t="s">
        <v>254</v>
      </c>
      <c r="C151" s="8">
        <v>25189.3</v>
      </c>
      <c r="D151" s="8">
        <v>0</v>
      </c>
      <c r="F151" t="s">
        <v>608</v>
      </c>
      <c r="G151" t="s">
        <v>543</v>
      </c>
      <c r="H151" t="s">
        <v>596</v>
      </c>
      <c r="I151" t="s">
        <v>597</v>
      </c>
    </row>
    <row r="152" spans="1:9" x14ac:dyDescent="0.25">
      <c r="A152" t="s">
        <v>526</v>
      </c>
      <c r="B152" t="s">
        <v>254</v>
      </c>
      <c r="C152" s="8">
        <v>25369.366000000002</v>
      </c>
      <c r="D152" s="8">
        <v>0</v>
      </c>
      <c r="F152" t="s">
        <v>599</v>
      </c>
      <c r="G152" t="s">
        <v>543</v>
      </c>
      <c r="H152" t="s">
        <v>596</v>
      </c>
      <c r="I152" t="s">
        <v>597</v>
      </c>
    </row>
    <row r="153" spans="1:9" x14ac:dyDescent="0.25">
      <c r="A153" t="s">
        <v>526</v>
      </c>
      <c r="B153" t="s">
        <v>254</v>
      </c>
      <c r="C153" s="8">
        <v>25550.091</v>
      </c>
      <c r="D153" s="8">
        <v>0</v>
      </c>
      <c r="F153" t="s">
        <v>599</v>
      </c>
      <c r="G153" t="s">
        <v>543</v>
      </c>
      <c r="H153" t="s">
        <v>596</v>
      </c>
      <c r="I153" t="s">
        <v>597</v>
      </c>
    </row>
    <row r="154" spans="1:9" x14ac:dyDescent="0.25">
      <c r="A154" t="s">
        <v>526</v>
      </c>
      <c r="B154" t="s">
        <v>254</v>
      </c>
      <c r="C154" s="8">
        <v>25776.400000000001</v>
      </c>
      <c r="D154" s="8">
        <v>0</v>
      </c>
      <c r="F154" t="s">
        <v>608</v>
      </c>
      <c r="G154" t="s">
        <v>543</v>
      </c>
      <c r="H154" t="s">
        <v>596</v>
      </c>
      <c r="I154" t="s">
        <v>597</v>
      </c>
    </row>
    <row r="155" spans="1:9" x14ac:dyDescent="0.25">
      <c r="A155" t="s">
        <v>526</v>
      </c>
      <c r="B155" t="s">
        <v>254</v>
      </c>
      <c r="C155" s="8">
        <v>25865.787</v>
      </c>
      <c r="D155" s="8">
        <v>0</v>
      </c>
      <c r="F155" t="s">
        <v>599</v>
      </c>
      <c r="G155" t="s">
        <v>543</v>
      </c>
      <c r="H155" t="s">
        <v>596</v>
      </c>
      <c r="I155" t="s">
        <v>597</v>
      </c>
    </row>
    <row r="156" spans="1:9" x14ac:dyDescent="0.25">
      <c r="A156" t="s">
        <v>526</v>
      </c>
      <c r="B156" t="s">
        <v>254</v>
      </c>
      <c r="C156" s="8">
        <v>25866.101999999999</v>
      </c>
      <c r="D156" s="8">
        <v>0</v>
      </c>
      <c r="F156" t="s">
        <v>599</v>
      </c>
      <c r="G156" t="s">
        <v>543</v>
      </c>
      <c r="H156" t="s">
        <v>596</v>
      </c>
      <c r="I156" t="s">
        <v>597</v>
      </c>
    </row>
    <row r="157" spans="1:9" x14ac:dyDescent="0.25">
      <c r="A157" t="s">
        <v>526</v>
      </c>
      <c r="B157" t="s">
        <v>254</v>
      </c>
      <c r="C157" s="8">
        <v>25866.2</v>
      </c>
      <c r="D157" s="8">
        <v>0</v>
      </c>
      <c r="F157" t="s">
        <v>608</v>
      </c>
      <c r="G157" t="s">
        <v>543</v>
      </c>
      <c r="H157" t="s">
        <v>596</v>
      </c>
      <c r="I157" t="s">
        <v>597</v>
      </c>
    </row>
    <row r="158" spans="1:9" x14ac:dyDescent="0.25">
      <c r="A158" t="s">
        <v>526</v>
      </c>
      <c r="B158" t="s">
        <v>254</v>
      </c>
      <c r="C158" s="8">
        <v>25912.3</v>
      </c>
      <c r="D158" s="8">
        <v>0</v>
      </c>
      <c r="F158" t="s">
        <v>608</v>
      </c>
      <c r="G158" t="s">
        <v>543</v>
      </c>
      <c r="H158" t="s">
        <v>596</v>
      </c>
      <c r="I158" t="s">
        <v>597</v>
      </c>
    </row>
    <row r="159" spans="1:9" x14ac:dyDescent="0.25">
      <c r="A159" t="s">
        <v>526</v>
      </c>
      <c r="B159" t="s">
        <v>254</v>
      </c>
      <c r="C159" s="8">
        <v>25955.541000000001</v>
      </c>
      <c r="D159" s="8">
        <v>0</v>
      </c>
      <c r="F159" t="s">
        <v>599</v>
      </c>
      <c r="G159" t="s">
        <v>543</v>
      </c>
      <c r="H159" t="s">
        <v>596</v>
      </c>
      <c r="I159" t="s">
        <v>597</v>
      </c>
    </row>
    <row r="160" spans="1:9" x14ac:dyDescent="0.25">
      <c r="A160" t="s">
        <v>526</v>
      </c>
      <c r="B160" t="s">
        <v>254</v>
      </c>
      <c r="C160" s="8">
        <v>25959.79</v>
      </c>
      <c r="D160" s="8">
        <v>0</v>
      </c>
      <c r="F160" t="s">
        <v>609</v>
      </c>
      <c r="G160" t="s">
        <v>543</v>
      </c>
      <c r="H160" t="s">
        <v>596</v>
      </c>
      <c r="I160" t="s">
        <v>597</v>
      </c>
    </row>
    <row r="161" spans="1:9" x14ac:dyDescent="0.25">
      <c r="A161" t="s">
        <v>526</v>
      </c>
      <c r="B161" t="s">
        <v>254</v>
      </c>
      <c r="C161" s="8">
        <v>26045.82</v>
      </c>
      <c r="D161" s="8">
        <v>0</v>
      </c>
      <c r="F161" t="s">
        <v>610</v>
      </c>
      <c r="G161" t="s">
        <v>543</v>
      </c>
      <c r="H161" t="s">
        <v>596</v>
      </c>
      <c r="I161" t="s">
        <v>597</v>
      </c>
    </row>
    <row r="162" spans="1:9" x14ac:dyDescent="0.25">
      <c r="A162" t="s">
        <v>526</v>
      </c>
      <c r="B162" t="s">
        <v>254</v>
      </c>
      <c r="C162" s="8">
        <v>26136.7</v>
      </c>
      <c r="D162" s="8">
        <v>0</v>
      </c>
      <c r="F162" t="s">
        <v>608</v>
      </c>
      <c r="G162" t="s">
        <v>543</v>
      </c>
      <c r="H162" t="s">
        <v>596</v>
      </c>
      <c r="I162" t="s">
        <v>597</v>
      </c>
    </row>
    <row r="163" spans="1:9" x14ac:dyDescent="0.25">
      <c r="A163" t="s">
        <v>526</v>
      </c>
      <c r="B163" t="s">
        <v>254</v>
      </c>
      <c r="C163" s="8">
        <v>26180.987000000001</v>
      </c>
      <c r="D163" s="8">
        <v>0</v>
      </c>
      <c r="F163" t="s">
        <v>599</v>
      </c>
      <c r="G163" t="s">
        <v>543</v>
      </c>
      <c r="H163" t="s">
        <v>596</v>
      </c>
      <c r="I163" t="s">
        <v>597</v>
      </c>
    </row>
    <row r="164" spans="1:9" x14ac:dyDescent="0.25">
      <c r="A164" t="s">
        <v>526</v>
      </c>
      <c r="B164" t="s">
        <v>254</v>
      </c>
      <c r="C164" s="8">
        <v>26271.83</v>
      </c>
      <c r="D164" s="8">
        <v>0</v>
      </c>
      <c r="F164" t="s">
        <v>611</v>
      </c>
      <c r="G164" t="s">
        <v>543</v>
      </c>
      <c r="H164" t="s">
        <v>596</v>
      </c>
      <c r="I164" t="s">
        <v>597</v>
      </c>
    </row>
    <row r="165" spans="1:9" x14ac:dyDescent="0.25">
      <c r="A165" t="s">
        <v>526</v>
      </c>
      <c r="B165" t="s">
        <v>254</v>
      </c>
      <c r="C165" s="8">
        <v>26272.3</v>
      </c>
      <c r="D165" s="8">
        <v>0</v>
      </c>
      <c r="F165" t="s">
        <v>608</v>
      </c>
      <c r="G165" t="s">
        <v>543</v>
      </c>
      <c r="H165" t="s">
        <v>596</v>
      </c>
      <c r="I165" t="s">
        <v>597</v>
      </c>
    </row>
    <row r="166" spans="1:9" x14ac:dyDescent="0.25">
      <c r="A166" t="s">
        <v>526</v>
      </c>
      <c r="B166" t="s">
        <v>254</v>
      </c>
      <c r="C166" s="8">
        <v>26362.560000000001</v>
      </c>
      <c r="D166" s="8">
        <v>0</v>
      </c>
      <c r="F166" t="s">
        <v>602</v>
      </c>
      <c r="G166" t="s">
        <v>543</v>
      </c>
      <c r="H166" t="s">
        <v>596</v>
      </c>
      <c r="I166" t="s">
        <v>597</v>
      </c>
    </row>
    <row r="167" spans="1:9" x14ac:dyDescent="0.25">
      <c r="A167" t="s">
        <v>526</v>
      </c>
      <c r="B167" t="s">
        <v>254</v>
      </c>
      <c r="C167" s="8">
        <v>26406.522000000001</v>
      </c>
      <c r="D167" s="8">
        <v>0</v>
      </c>
      <c r="F167" t="s">
        <v>599</v>
      </c>
      <c r="G167" t="s">
        <v>543</v>
      </c>
      <c r="H167" t="s">
        <v>596</v>
      </c>
      <c r="I167" t="s">
        <v>597</v>
      </c>
    </row>
    <row r="168" spans="1:9" x14ac:dyDescent="0.25">
      <c r="A168" t="s">
        <v>526</v>
      </c>
      <c r="B168" t="s">
        <v>254</v>
      </c>
      <c r="C168" s="8">
        <v>26408.16</v>
      </c>
      <c r="D168" s="8">
        <v>0</v>
      </c>
      <c r="F168" t="s">
        <v>609</v>
      </c>
      <c r="G168" t="s">
        <v>543</v>
      </c>
      <c r="H168" t="s">
        <v>596</v>
      </c>
      <c r="I168" t="s">
        <v>597</v>
      </c>
    </row>
    <row r="169" spans="1:9" x14ac:dyDescent="0.25">
      <c r="A169" t="s">
        <v>526</v>
      </c>
      <c r="B169" t="s">
        <v>254</v>
      </c>
      <c r="C169" s="8">
        <v>26453.088</v>
      </c>
      <c r="D169" s="8">
        <v>0</v>
      </c>
      <c r="F169" t="s">
        <v>599</v>
      </c>
      <c r="G169" t="s">
        <v>543</v>
      </c>
      <c r="H169" t="s">
        <v>596</v>
      </c>
      <c r="I169" t="s">
        <v>597</v>
      </c>
    </row>
    <row r="170" spans="1:9" x14ac:dyDescent="0.25">
      <c r="A170" t="s">
        <v>526</v>
      </c>
      <c r="B170" t="s">
        <v>254</v>
      </c>
      <c r="C170" s="8">
        <v>26497.51</v>
      </c>
      <c r="D170" s="8">
        <v>0</v>
      </c>
      <c r="F170" t="s">
        <v>609</v>
      </c>
      <c r="G170" t="s">
        <v>543</v>
      </c>
      <c r="H170" t="s">
        <v>596</v>
      </c>
      <c r="I170" t="s">
        <v>597</v>
      </c>
    </row>
    <row r="171" spans="1:9" x14ac:dyDescent="0.25">
      <c r="A171" t="s">
        <v>526</v>
      </c>
      <c r="B171" t="s">
        <v>254</v>
      </c>
      <c r="C171" s="8">
        <v>26677.902999999998</v>
      </c>
      <c r="D171" s="8">
        <v>0</v>
      </c>
      <c r="F171" t="s">
        <v>599</v>
      </c>
      <c r="G171" t="s">
        <v>543</v>
      </c>
      <c r="H171" t="s">
        <v>596</v>
      </c>
      <c r="I171" t="s">
        <v>597</v>
      </c>
    </row>
    <row r="172" spans="1:9" x14ac:dyDescent="0.25">
      <c r="A172" t="s">
        <v>526</v>
      </c>
      <c r="B172" t="s">
        <v>254</v>
      </c>
      <c r="C172" s="8">
        <v>26904.923999999999</v>
      </c>
      <c r="D172" s="8">
        <v>0</v>
      </c>
      <c r="F172" t="s">
        <v>599</v>
      </c>
      <c r="G172" t="s">
        <v>543</v>
      </c>
      <c r="H172" t="s">
        <v>596</v>
      </c>
      <c r="I172" t="s">
        <v>597</v>
      </c>
    </row>
    <row r="173" spans="1:9" x14ac:dyDescent="0.25">
      <c r="A173" t="s">
        <v>526</v>
      </c>
      <c r="B173" t="s">
        <v>254</v>
      </c>
      <c r="C173" s="8">
        <v>27265.564999999999</v>
      </c>
      <c r="D173" s="8">
        <v>0</v>
      </c>
      <c r="F173" t="s">
        <v>599</v>
      </c>
      <c r="G173" t="s">
        <v>543</v>
      </c>
      <c r="H173" t="s">
        <v>596</v>
      </c>
      <c r="I173" t="s">
        <v>597</v>
      </c>
    </row>
    <row r="174" spans="1:9" x14ac:dyDescent="0.25">
      <c r="A174" t="s">
        <v>526</v>
      </c>
      <c r="B174" t="s">
        <v>254</v>
      </c>
      <c r="C174" s="8">
        <v>27762.29</v>
      </c>
      <c r="D174" s="8">
        <v>0</v>
      </c>
      <c r="F174" t="s">
        <v>612</v>
      </c>
      <c r="G174" t="s">
        <v>543</v>
      </c>
      <c r="H174" t="s">
        <v>596</v>
      </c>
      <c r="I174" t="s">
        <v>597</v>
      </c>
    </row>
    <row r="175" spans="1:9" x14ac:dyDescent="0.25">
      <c r="A175" t="s">
        <v>526</v>
      </c>
      <c r="B175" t="s">
        <v>254</v>
      </c>
      <c r="C175" s="8">
        <v>27762.85</v>
      </c>
      <c r="D175" s="8">
        <v>0</v>
      </c>
      <c r="F175" t="s">
        <v>609</v>
      </c>
      <c r="G175" t="s">
        <v>543</v>
      </c>
      <c r="H175" t="s">
        <v>596</v>
      </c>
      <c r="I175" t="s">
        <v>597</v>
      </c>
    </row>
    <row r="176" spans="1:9" x14ac:dyDescent="0.25">
      <c r="A176" t="s">
        <v>526</v>
      </c>
      <c r="B176" t="s">
        <v>254</v>
      </c>
      <c r="C176" s="8">
        <v>28077.23</v>
      </c>
      <c r="D176" s="8">
        <v>0</v>
      </c>
      <c r="F176" t="s">
        <v>599</v>
      </c>
      <c r="G176" t="s">
        <v>543</v>
      </c>
      <c r="H176" t="s">
        <v>596</v>
      </c>
      <c r="I176" t="s">
        <v>597</v>
      </c>
    </row>
    <row r="177" spans="1:9" x14ac:dyDescent="0.25">
      <c r="A177" t="s">
        <v>526</v>
      </c>
      <c r="B177" t="s">
        <v>254</v>
      </c>
      <c r="C177" s="8">
        <v>28077.68</v>
      </c>
      <c r="D177" s="8">
        <v>0</v>
      </c>
      <c r="F177" t="s">
        <v>605</v>
      </c>
      <c r="G177" t="s">
        <v>543</v>
      </c>
      <c r="H177" t="s">
        <v>596</v>
      </c>
      <c r="I177" t="s">
        <v>597</v>
      </c>
    </row>
    <row r="178" spans="1:9" x14ac:dyDescent="0.25">
      <c r="A178" t="s">
        <v>526</v>
      </c>
      <c r="B178" t="s">
        <v>254</v>
      </c>
      <c r="C178" s="8">
        <v>28754.097000000002</v>
      </c>
      <c r="D178" s="8">
        <v>0</v>
      </c>
      <c r="F178" t="s">
        <v>599</v>
      </c>
      <c r="G178" t="s">
        <v>543</v>
      </c>
      <c r="H178" t="s">
        <v>596</v>
      </c>
      <c r="I178" t="s">
        <v>597</v>
      </c>
    </row>
    <row r="179" spans="1:9" x14ac:dyDescent="0.25">
      <c r="A179" t="s">
        <v>526</v>
      </c>
      <c r="B179" t="s">
        <v>254</v>
      </c>
      <c r="C179" s="8">
        <v>29020.87</v>
      </c>
      <c r="D179" s="8">
        <v>0</v>
      </c>
      <c r="F179" t="s">
        <v>613</v>
      </c>
      <c r="G179" t="s">
        <v>543</v>
      </c>
      <c r="H179" t="s">
        <v>596</v>
      </c>
      <c r="I179" t="s">
        <v>597</v>
      </c>
    </row>
    <row r="180" spans="1:9" x14ac:dyDescent="0.25">
      <c r="A180" t="s">
        <v>526</v>
      </c>
      <c r="B180" t="s">
        <v>254</v>
      </c>
      <c r="C180" s="8">
        <v>32948.125999999997</v>
      </c>
      <c r="D180" s="8">
        <v>0</v>
      </c>
      <c r="F180" t="s">
        <v>599</v>
      </c>
      <c r="G180" t="s">
        <v>543</v>
      </c>
      <c r="H180" t="s">
        <v>596</v>
      </c>
      <c r="I180" t="s">
        <v>597</v>
      </c>
    </row>
    <row r="181" spans="1:9" x14ac:dyDescent="0.25">
      <c r="A181" t="s">
        <v>526</v>
      </c>
      <c r="B181" t="s">
        <v>254</v>
      </c>
      <c r="C181" s="8">
        <v>33126</v>
      </c>
      <c r="D181" s="8">
        <v>2</v>
      </c>
      <c r="F181" t="s">
        <v>614</v>
      </c>
      <c r="G181" t="s">
        <v>615</v>
      </c>
      <c r="H181" t="s">
        <v>596</v>
      </c>
      <c r="I181" t="s">
        <v>597</v>
      </c>
    </row>
    <row r="182" spans="1:9" x14ac:dyDescent="0.25">
      <c r="A182" t="s">
        <v>526</v>
      </c>
      <c r="B182" t="s">
        <v>254</v>
      </c>
      <c r="C182" s="8">
        <v>33535.517999999996</v>
      </c>
      <c r="D182" s="8">
        <v>0</v>
      </c>
      <c r="F182" t="s">
        <v>599</v>
      </c>
      <c r="G182" t="s">
        <v>543</v>
      </c>
      <c r="H182" t="s">
        <v>596</v>
      </c>
      <c r="I182" t="s">
        <v>597</v>
      </c>
    </row>
    <row r="183" spans="1:9" x14ac:dyDescent="0.25">
      <c r="A183" t="s">
        <v>526</v>
      </c>
      <c r="B183" t="s">
        <v>254</v>
      </c>
      <c r="C183" s="8">
        <v>34752.6</v>
      </c>
      <c r="D183" s="8">
        <v>0</v>
      </c>
      <c r="F183" t="s">
        <v>609</v>
      </c>
      <c r="G183" t="s">
        <v>543</v>
      </c>
      <c r="H183" t="s">
        <v>596</v>
      </c>
      <c r="I183" t="s">
        <v>597</v>
      </c>
    </row>
    <row r="184" spans="1:9" x14ac:dyDescent="0.25">
      <c r="A184" t="s">
        <v>526</v>
      </c>
      <c r="B184" t="s">
        <v>254</v>
      </c>
      <c r="C184" s="8">
        <v>35340.790999999997</v>
      </c>
      <c r="D184" s="8">
        <v>0</v>
      </c>
      <c r="F184" t="s">
        <v>599</v>
      </c>
      <c r="G184" t="s">
        <v>543</v>
      </c>
      <c r="H184" t="s">
        <v>596</v>
      </c>
      <c r="I184" t="s">
        <v>597</v>
      </c>
    </row>
    <row r="185" spans="1:9" x14ac:dyDescent="0.25">
      <c r="A185" t="s">
        <v>526</v>
      </c>
      <c r="B185" t="s">
        <v>254</v>
      </c>
      <c r="C185" s="8">
        <v>37187.9</v>
      </c>
      <c r="D185" s="8">
        <v>0</v>
      </c>
      <c r="F185" t="s">
        <v>616</v>
      </c>
      <c r="G185" t="s">
        <v>543</v>
      </c>
      <c r="H185" t="s">
        <v>596</v>
      </c>
      <c r="I185" t="s">
        <v>597</v>
      </c>
    </row>
    <row r="186" spans="1:9" x14ac:dyDescent="0.25">
      <c r="A186" t="s">
        <v>526</v>
      </c>
      <c r="B186" t="s">
        <v>254</v>
      </c>
      <c r="C186" s="8">
        <v>37232.711000000003</v>
      </c>
      <c r="D186" s="8">
        <v>0</v>
      </c>
      <c r="F186" t="s">
        <v>599</v>
      </c>
      <c r="G186" t="s">
        <v>543</v>
      </c>
      <c r="H186" t="s">
        <v>596</v>
      </c>
      <c r="I186" t="s">
        <v>597</v>
      </c>
    </row>
    <row r="187" spans="1:9" x14ac:dyDescent="0.25">
      <c r="A187" t="s">
        <v>526</v>
      </c>
      <c r="B187" t="s">
        <v>254</v>
      </c>
      <c r="C187" s="8">
        <v>37952.866000000002</v>
      </c>
      <c r="D187" s="8">
        <v>0</v>
      </c>
      <c r="F187" t="s">
        <v>599</v>
      </c>
      <c r="G187" t="s">
        <v>543</v>
      </c>
      <c r="H187" t="s">
        <v>596</v>
      </c>
      <c r="I187" t="s">
        <v>597</v>
      </c>
    </row>
    <row r="188" spans="1:9" x14ac:dyDescent="0.25">
      <c r="A188" t="s">
        <v>526</v>
      </c>
      <c r="B188" t="s">
        <v>254</v>
      </c>
      <c r="C188" s="8">
        <v>38268.336000000003</v>
      </c>
      <c r="D188" s="8">
        <v>0</v>
      </c>
      <c r="F188" t="s">
        <v>599</v>
      </c>
      <c r="G188" t="s">
        <v>543</v>
      </c>
      <c r="H188" t="s">
        <v>596</v>
      </c>
      <c r="I188" t="s">
        <v>597</v>
      </c>
    </row>
    <row r="189" spans="1:9" x14ac:dyDescent="0.25">
      <c r="A189" t="s">
        <v>526</v>
      </c>
      <c r="B189" t="s">
        <v>254</v>
      </c>
      <c r="C189" s="8">
        <v>38268.9</v>
      </c>
      <c r="D189" s="8">
        <v>0</v>
      </c>
      <c r="F189" t="s">
        <v>617</v>
      </c>
      <c r="G189" t="s">
        <v>543</v>
      </c>
      <c r="H189" t="s">
        <v>596</v>
      </c>
      <c r="I189" t="s">
        <v>597</v>
      </c>
    </row>
    <row r="190" spans="1:9" x14ac:dyDescent="0.25">
      <c r="A190" t="s">
        <v>526</v>
      </c>
      <c r="B190" t="s">
        <v>254</v>
      </c>
      <c r="C190" s="8">
        <v>40384.5</v>
      </c>
      <c r="D190" s="8">
        <v>1</v>
      </c>
      <c r="F190" t="s">
        <v>614</v>
      </c>
      <c r="G190" t="s">
        <v>615</v>
      </c>
      <c r="H190" t="s">
        <v>596</v>
      </c>
      <c r="I190" t="s">
        <v>597</v>
      </c>
    </row>
    <row r="191" spans="1:9" x14ac:dyDescent="0.25">
      <c r="A191" t="s">
        <v>526</v>
      </c>
      <c r="B191" t="s">
        <v>254</v>
      </c>
      <c r="C191" s="8">
        <v>40474.5</v>
      </c>
      <c r="D191" s="8">
        <v>1</v>
      </c>
      <c r="F191" t="s">
        <v>614</v>
      </c>
      <c r="G191" t="s">
        <v>615</v>
      </c>
      <c r="H191" t="s">
        <v>596</v>
      </c>
      <c r="I191" t="s">
        <v>597</v>
      </c>
    </row>
    <row r="192" spans="1:9" x14ac:dyDescent="0.25">
      <c r="A192" t="s">
        <v>526</v>
      </c>
      <c r="B192" t="s">
        <v>254</v>
      </c>
      <c r="C192" s="8">
        <v>40654.718999999997</v>
      </c>
      <c r="D192" s="8">
        <v>0</v>
      </c>
      <c r="F192" t="s">
        <v>599</v>
      </c>
      <c r="G192" t="s">
        <v>543</v>
      </c>
      <c r="H192" t="s">
        <v>596</v>
      </c>
      <c r="I192" t="s">
        <v>597</v>
      </c>
    </row>
    <row r="193" spans="1:9" x14ac:dyDescent="0.25">
      <c r="A193" t="s">
        <v>526</v>
      </c>
      <c r="B193" t="s">
        <v>254</v>
      </c>
      <c r="C193" s="8">
        <v>40790</v>
      </c>
      <c r="D193" s="8">
        <v>1</v>
      </c>
      <c r="F193" t="s">
        <v>614</v>
      </c>
      <c r="G193" t="s">
        <v>615</v>
      </c>
      <c r="H193" t="s">
        <v>596</v>
      </c>
      <c r="I193" t="s">
        <v>597</v>
      </c>
    </row>
    <row r="194" spans="1:9" x14ac:dyDescent="0.25">
      <c r="A194" t="s">
        <v>526</v>
      </c>
      <c r="B194" t="s">
        <v>254</v>
      </c>
      <c r="C194" s="8">
        <v>40834</v>
      </c>
      <c r="D194" s="8">
        <v>1</v>
      </c>
      <c r="F194" t="s">
        <v>614</v>
      </c>
      <c r="G194" t="s">
        <v>615</v>
      </c>
      <c r="H194" t="s">
        <v>596</v>
      </c>
      <c r="I194" t="s">
        <v>597</v>
      </c>
    </row>
    <row r="195" spans="1:9" x14ac:dyDescent="0.25">
      <c r="A195" t="s">
        <v>526</v>
      </c>
      <c r="B195" t="s">
        <v>254</v>
      </c>
      <c r="C195" s="8">
        <v>41329.910000000003</v>
      </c>
      <c r="D195" s="8">
        <v>0</v>
      </c>
      <c r="F195" t="s">
        <v>599</v>
      </c>
      <c r="G195" t="s">
        <v>543</v>
      </c>
      <c r="H195" t="s">
        <v>596</v>
      </c>
      <c r="I195" t="s">
        <v>597</v>
      </c>
    </row>
    <row r="196" spans="1:9" x14ac:dyDescent="0.25">
      <c r="A196" t="s">
        <v>526</v>
      </c>
      <c r="B196" t="s">
        <v>254</v>
      </c>
      <c r="C196" s="8">
        <v>43085.55</v>
      </c>
      <c r="D196" s="8">
        <v>0</v>
      </c>
      <c r="F196" t="s">
        <v>599</v>
      </c>
      <c r="G196" t="s">
        <v>543</v>
      </c>
      <c r="H196" t="s">
        <v>596</v>
      </c>
      <c r="I196" t="s">
        <v>597</v>
      </c>
    </row>
    <row r="197" spans="1:9" x14ac:dyDescent="0.25">
      <c r="A197" t="s">
        <v>526</v>
      </c>
      <c r="B197" t="s">
        <v>254</v>
      </c>
      <c r="C197" s="8">
        <v>43086.55</v>
      </c>
      <c r="D197" s="8">
        <v>0</v>
      </c>
      <c r="F197" t="s">
        <v>618</v>
      </c>
      <c r="G197" t="s">
        <v>543</v>
      </c>
      <c r="H197" t="s">
        <v>596</v>
      </c>
      <c r="I197" t="s">
        <v>597</v>
      </c>
    </row>
    <row r="198" spans="1:9" x14ac:dyDescent="0.25">
      <c r="A198" t="s">
        <v>526</v>
      </c>
      <c r="B198" t="s">
        <v>254</v>
      </c>
      <c r="C198" s="8">
        <v>43625.769</v>
      </c>
      <c r="D198" s="8">
        <v>0</v>
      </c>
      <c r="F198" t="s">
        <v>599</v>
      </c>
      <c r="G198" t="s">
        <v>543</v>
      </c>
      <c r="H198" t="s">
        <v>596</v>
      </c>
      <c r="I198" t="s">
        <v>597</v>
      </c>
    </row>
    <row r="199" spans="1:9" x14ac:dyDescent="0.25">
      <c r="A199" t="s">
        <v>526</v>
      </c>
      <c r="B199" t="s">
        <v>254</v>
      </c>
      <c r="C199" s="8">
        <v>43671.962699999996</v>
      </c>
      <c r="D199" s="8">
        <v>0</v>
      </c>
      <c r="F199" t="s">
        <v>619</v>
      </c>
      <c r="G199" t="s">
        <v>543</v>
      </c>
      <c r="H199" t="s">
        <v>596</v>
      </c>
      <c r="I199" t="s">
        <v>597</v>
      </c>
    </row>
    <row r="200" spans="1:9" x14ac:dyDescent="0.25">
      <c r="A200" t="s">
        <v>526</v>
      </c>
      <c r="B200" t="s">
        <v>254</v>
      </c>
      <c r="C200" s="8">
        <v>43715.228999999999</v>
      </c>
      <c r="D200" s="8">
        <v>0</v>
      </c>
      <c r="F200" t="s">
        <v>599</v>
      </c>
      <c r="G200" t="s">
        <v>543</v>
      </c>
      <c r="H200" t="s">
        <v>596</v>
      </c>
      <c r="I200" t="s">
        <v>597</v>
      </c>
    </row>
    <row r="201" spans="1:9" x14ac:dyDescent="0.25">
      <c r="A201" t="s">
        <v>526</v>
      </c>
      <c r="B201" t="s">
        <v>254</v>
      </c>
      <c r="C201" s="8">
        <v>44075.400999999998</v>
      </c>
      <c r="D201" s="8">
        <v>0</v>
      </c>
      <c r="F201" t="s">
        <v>599</v>
      </c>
      <c r="G201" t="s">
        <v>543</v>
      </c>
      <c r="H201" t="s">
        <v>596</v>
      </c>
      <c r="I201" t="s">
        <v>597</v>
      </c>
    </row>
    <row r="202" spans="1:9" x14ac:dyDescent="0.25">
      <c r="A202" t="s">
        <v>526</v>
      </c>
      <c r="B202" t="s">
        <v>254</v>
      </c>
      <c r="C202" s="8">
        <v>44480.353999999999</v>
      </c>
      <c r="D202" s="8">
        <v>0</v>
      </c>
      <c r="F202" t="s">
        <v>599</v>
      </c>
      <c r="G202" t="s">
        <v>543</v>
      </c>
      <c r="H202" t="s">
        <v>596</v>
      </c>
      <c r="I202" t="s">
        <v>597</v>
      </c>
    </row>
    <row r="203" spans="1:9" x14ac:dyDescent="0.25">
      <c r="A203" t="s">
        <v>526</v>
      </c>
      <c r="B203" t="s">
        <v>254</v>
      </c>
      <c r="C203" s="8">
        <v>44525.618999999999</v>
      </c>
      <c r="D203" s="8">
        <v>0</v>
      </c>
      <c r="F203" t="s">
        <v>599</v>
      </c>
      <c r="G203" t="s">
        <v>543</v>
      </c>
      <c r="H203" t="s">
        <v>596</v>
      </c>
      <c r="I203" t="s">
        <v>597</v>
      </c>
    </row>
    <row r="204" spans="1:9" x14ac:dyDescent="0.25">
      <c r="A204" t="s">
        <v>526</v>
      </c>
      <c r="B204" t="s">
        <v>254</v>
      </c>
      <c r="C204" s="8">
        <v>44794</v>
      </c>
      <c r="D204" s="8">
        <v>2</v>
      </c>
      <c r="F204" t="s">
        <v>614</v>
      </c>
      <c r="G204" t="s">
        <v>615</v>
      </c>
      <c r="H204" t="s">
        <v>596</v>
      </c>
      <c r="I204" t="s">
        <v>597</v>
      </c>
    </row>
    <row r="205" spans="1:9" x14ac:dyDescent="0.25">
      <c r="A205" t="s">
        <v>526</v>
      </c>
      <c r="B205" t="s">
        <v>254</v>
      </c>
      <c r="C205" s="8">
        <v>44840</v>
      </c>
      <c r="D205" s="8">
        <v>1</v>
      </c>
      <c r="F205" t="s">
        <v>614</v>
      </c>
      <c r="G205" t="s">
        <v>615</v>
      </c>
      <c r="H205" t="s">
        <v>596</v>
      </c>
      <c r="I205" t="s">
        <v>597</v>
      </c>
    </row>
    <row r="206" spans="1:9" x14ac:dyDescent="0.25">
      <c r="A206" t="s">
        <v>526</v>
      </c>
      <c r="B206" t="s">
        <v>254</v>
      </c>
      <c r="C206" s="8">
        <v>44882.5</v>
      </c>
      <c r="D206" s="8">
        <v>2</v>
      </c>
      <c r="F206" t="s">
        <v>614</v>
      </c>
      <c r="G206" t="s">
        <v>615</v>
      </c>
      <c r="H206" t="s">
        <v>596</v>
      </c>
      <c r="I206" t="s">
        <v>597</v>
      </c>
    </row>
    <row r="207" spans="1:9" x14ac:dyDescent="0.25">
      <c r="A207" t="s">
        <v>526</v>
      </c>
      <c r="B207" t="s">
        <v>254</v>
      </c>
      <c r="C207" s="8">
        <v>45155.5</v>
      </c>
      <c r="D207" s="8">
        <v>1</v>
      </c>
      <c r="F207" t="s">
        <v>614</v>
      </c>
      <c r="G207" t="s">
        <v>615</v>
      </c>
      <c r="H207" t="s">
        <v>596</v>
      </c>
      <c r="I207" t="s">
        <v>597</v>
      </c>
    </row>
    <row r="208" spans="1:9" x14ac:dyDescent="0.25">
      <c r="A208" t="s">
        <v>526</v>
      </c>
      <c r="B208" t="s">
        <v>254</v>
      </c>
      <c r="C208" s="8">
        <v>45200.5</v>
      </c>
      <c r="D208" s="8">
        <v>1</v>
      </c>
      <c r="F208" t="s">
        <v>614</v>
      </c>
      <c r="G208" t="s">
        <v>615</v>
      </c>
      <c r="H208" t="s">
        <v>596</v>
      </c>
      <c r="I208" t="s">
        <v>597</v>
      </c>
    </row>
    <row r="209" spans="1:9" x14ac:dyDescent="0.25">
      <c r="A209" t="s">
        <v>526</v>
      </c>
      <c r="B209" t="s">
        <v>254</v>
      </c>
      <c r="C209" s="8">
        <v>45516.5</v>
      </c>
      <c r="D209" s="8">
        <v>1</v>
      </c>
      <c r="F209" t="s">
        <v>614</v>
      </c>
      <c r="G209" t="s">
        <v>615</v>
      </c>
      <c r="H209" t="s">
        <v>596</v>
      </c>
      <c r="I209" t="s">
        <v>597</v>
      </c>
    </row>
    <row r="210" spans="1:9" x14ac:dyDescent="0.25">
      <c r="A210" t="s">
        <v>526</v>
      </c>
      <c r="B210" t="s">
        <v>254</v>
      </c>
      <c r="C210" s="8">
        <v>45560.5</v>
      </c>
      <c r="D210" s="8">
        <v>1</v>
      </c>
      <c r="F210" t="s">
        <v>614</v>
      </c>
      <c r="G210" t="s">
        <v>615</v>
      </c>
      <c r="H210" t="s">
        <v>596</v>
      </c>
      <c r="I210" t="s">
        <v>597</v>
      </c>
    </row>
    <row r="211" spans="1:9" x14ac:dyDescent="0.25">
      <c r="A211" t="s">
        <v>526</v>
      </c>
      <c r="B211" t="s">
        <v>254</v>
      </c>
      <c r="C211" s="8">
        <v>45607</v>
      </c>
      <c r="D211" s="8">
        <v>1</v>
      </c>
      <c r="F211" t="s">
        <v>614</v>
      </c>
      <c r="G211" t="s">
        <v>615</v>
      </c>
      <c r="H211" t="s">
        <v>596</v>
      </c>
      <c r="I211" t="s">
        <v>597</v>
      </c>
    </row>
    <row r="212" spans="1:9" x14ac:dyDescent="0.25">
      <c r="A212" t="s">
        <v>526</v>
      </c>
      <c r="B212" t="s">
        <v>254</v>
      </c>
      <c r="C212" s="8">
        <v>45652.557999999997</v>
      </c>
      <c r="D212" s="8">
        <v>0</v>
      </c>
      <c r="F212" t="s">
        <v>599</v>
      </c>
      <c r="G212" t="s">
        <v>543</v>
      </c>
      <c r="H212" t="s">
        <v>596</v>
      </c>
      <c r="I212" t="s">
        <v>597</v>
      </c>
    </row>
    <row r="213" spans="1:9" x14ac:dyDescent="0.25">
      <c r="A213" t="s">
        <v>526</v>
      </c>
      <c r="B213" t="s">
        <v>254</v>
      </c>
      <c r="C213" s="8">
        <v>45877</v>
      </c>
      <c r="D213" s="8">
        <v>2</v>
      </c>
      <c r="F213" t="s">
        <v>614</v>
      </c>
      <c r="G213" t="s">
        <v>615</v>
      </c>
      <c r="H213" t="s">
        <v>596</v>
      </c>
      <c r="I213" t="s">
        <v>597</v>
      </c>
    </row>
    <row r="214" spans="1:9" x14ac:dyDescent="0.25">
      <c r="A214" t="s">
        <v>526</v>
      </c>
      <c r="B214" t="s">
        <v>254</v>
      </c>
      <c r="C214" s="8">
        <v>45965</v>
      </c>
      <c r="D214" s="8">
        <v>1</v>
      </c>
      <c r="F214" t="s">
        <v>614</v>
      </c>
      <c r="G214" t="s">
        <v>615</v>
      </c>
      <c r="H214" t="s">
        <v>596</v>
      </c>
      <c r="I214" t="s">
        <v>597</v>
      </c>
    </row>
    <row r="215" spans="1:9" x14ac:dyDescent="0.25">
      <c r="A215" t="s">
        <v>526</v>
      </c>
      <c r="B215" t="s">
        <v>254</v>
      </c>
      <c r="C215" s="8">
        <v>46192</v>
      </c>
      <c r="D215" s="8">
        <v>2</v>
      </c>
      <c r="F215" t="s">
        <v>614</v>
      </c>
      <c r="G215" t="s">
        <v>615</v>
      </c>
      <c r="H215" t="s">
        <v>596</v>
      </c>
      <c r="I215" t="s">
        <v>597</v>
      </c>
    </row>
    <row r="216" spans="1:9" x14ac:dyDescent="0.25">
      <c r="A216" t="s">
        <v>526</v>
      </c>
      <c r="B216" t="s">
        <v>254</v>
      </c>
      <c r="C216" s="8">
        <v>46238</v>
      </c>
      <c r="D216" s="8">
        <v>2</v>
      </c>
      <c r="F216" t="s">
        <v>614</v>
      </c>
      <c r="G216" t="s">
        <v>615</v>
      </c>
      <c r="H216" t="s">
        <v>596</v>
      </c>
      <c r="I216" t="s">
        <v>597</v>
      </c>
    </row>
    <row r="217" spans="1:9" x14ac:dyDescent="0.25">
      <c r="A217" t="s">
        <v>526</v>
      </c>
      <c r="B217" t="s">
        <v>254</v>
      </c>
      <c r="C217" s="8">
        <v>46283.294999999998</v>
      </c>
      <c r="D217" s="8">
        <v>0</v>
      </c>
      <c r="F217" t="s">
        <v>599</v>
      </c>
      <c r="G217" t="s">
        <v>543</v>
      </c>
      <c r="H217" t="s">
        <v>596</v>
      </c>
      <c r="I217" t="s">
        <v>597</v>
      </c>
    </row>
    <row r="218" spans="1:9" x14ac:dyDescent="0.25">
      <c r="A218" t="s">
        <v>526</v>
      </c>
      <c r="B218" t="s">
        <v>254</v>
      </c>
      <c r="C218" s="8">
        <v>46600.5</v>
      </c>
      <c r="D218" s="8">
        <v>1</v>
      </c>
      <c r="F218" t="s">
        <v>614</v>
      </c>
      <c r="G218" t="s">
        <v>615</v>
      </c>
      <c r="H218" t="s">
        <v>596</v>
      </c>
      <c r="I218" t="s">
        <v>597</v>
      </c>
    </row>
    <row r="219" spans="1:9" x14ac:dyDescent="0.25">
      <c r="A219" t="s">
        <v>526</v>
      </c>
      <c r="B219" t="s">
        <v>254</v>
      </c>
      <c r="C219" s="8">
        <v>46643.5</v>
      </c>
      <c r="D219" s="8">
        <v>1</v>
      </c>
      <c r="F219" t="s">
        <v>614</v>
      </c>
      <c r="G219" t="s">
        <v>615</v>
      </c>
      <c r="H219" t="s">
        <v>596</v>
      </c>
      <c r="I219" t="s">
        <v>597</v>
      </c>
    </row>
    <row r="220" spans="1:9" x14ac:dyDescent="0.25">
      <c r="A220" t="s">
        <v>526</v>
      </c>
      <c r="B220" t="s">
        <v>254</v>
      </c>
      <c r="C220" s="8">
        <v>46687.5</v>
      </c>
      <c r="D220" s="8">
        <v>2</v>
      </c>
      <c r="F220" t="s">
        <v>614</v>
      </c>
      <c r="G220" t="s">
        <v>615</v>
      </c>
      <c r="H220" t="s">
        <v>596</v>
      </c>
      <c r="I220" t="s">
        <v>597</v>
      </c>
    </row>
    <row r="221" spans="1:9" x14ac:dyDescent="0.25">
      <c r="A221" t="s">
        <v>526</v>
      </c>
      <c r="B221" t="s">
        <v>254</v>
      </c>
      <c r="C221" s="8">
        <v>46734</v>
      </c>
      <c r="D221" s="8">
        <v>1</v>
      </c>
      <c r="F221" t="s">
        <v>614</v>
      </c>
      <c r="G221" t="s">
        <v>615</v>
      </c>
      <c r="H221" t="s">
        <v>596</v>
      </c>
      <c r="I221" t="s">
        <v>597</v>
      </c>
    </row>
    <row r="222" spans="1:9" x14ac:dyDescent="0.25">
      <c r="A222" t="s">
        <v>526</v>
      </c>
      <c r="B222" t="s">
        <v>254</v>
      </c>
      <c r="C222" s="8">
        <v>46778</v>
      </c>
      <c r="D222" s="8">
        <v>2</v>
      </c>
      <c r="F222" t="s">
        <v>614</v>
      </c>
      <c r="G222" t="s">
        <v>615</v>
      </c>
      <c r="H222" t="s">
        <v>596</v>
      </c>
      <c r="I222" t="s">
        <v>597</v>
      </c>
    </row>
    <row r="223" spans="1:9" x14ac:dyDescent="0.25">
      <c r="A223" t="s">
        <v>526</v>
      </c>
      <c r="B223" t="s">
        <v>254</v>
      </c>
      <c r="C223" s="8">
        <v>47003.5</v>
      </c>
      <c r="D223" s="8">
        <v>1</v>
      </c>
      <c r="F223" t="s">
        <v>614</v>
      </c>
      <c r="G223" t="s">
        <v>615</v>
      </c>
      <c r="H223" t="s">
        <v>596</v>
      </c>
      <c r="I223" t="s">
        <v>597</v>
      </c>
    </row>
    <row r="224" spans="1:9" x14ac:dyDescent="0.25">
      <c r="A224" t="s">
        <v>526</v>
      </c>
      <c r="B224" t="s">
        <v>254</v>
      </c>
      <c r="C224" s="8">
        <v>47048.5</v>
      </c>
      <c r="D224" s="8">
        <v>1</v>
      </c>
      <c r="F224" t="s">
        <v>614</v>
      </c>
      <c r="G224" t="s">
        <v>615</v>
      </c>
      <c r="H224" t="s">
        <v>596</v>
      </c>
      <c r="I224" t="s">
        <v>597</v>
      </c>
    </row>
    <row r="225" spans="1:9" x14ac:dyDescent="0.25">
      <c r="A225" t="s">
        <v>526</v>
      </c>
      <c r="B225" t="s">
        <v>254</v>
      </c>
      <c r="C225" s="8">
        <v>47050</v>
      </c>
      <c r="D225" s="8">
        <v>1</v>
      </c>
      <c r="F225" t="s">
        <v>620</v>
      </c>
      <c r="G225" t="s">
        <v>552</v>
      </c>
      <c r="H225" t="s">
        <v>596</v>
      </c>
      <c r="I225" t="s">
        <v>597</v>
      </c>
    </row>
    <row r="226" spans="1:9" x14ac:dyDescent="0.25">
      <c r="A226" t="s">
        <v>526</v>
      </c>
      <c r="B226" t="s">
        <v>254</v>
      </c>
      <c r="C226" s="8">
        <v>47094.5</v>
      </c>
      <c r="D226" s="8">
        <v>1</v>
      </c>
      <c r="F226" t="s">
        <v>614</v>
      </c>
      <c r="G226" t="s">
        <v>615</v>
      </c>
      <c r="H226" t="s">
        <v>596</v>
      </c>
      <c r="I226" t="s">
        <v>597</v>
      </c>
    </row>
    <row r="227" spans="1:9" x14ac:dyDescent="0.25">
      <c r="A227" t="s">
        <v>526</v>
      </c>
      <c r="B227" t="s">
        <v>254</v>
      </c>
      <c r="C227" s="8">
        <v>47366</v>
      </c>
      <c r="D227" s="8">
        <v>0</v>
      </c>
      <c r="F227" t="s">
        <v>620</v>
      </c>
      <c r="G227" t="s">
        <v>552</v>
      </c>
      <c r="H227" t="s">
        <v>596</v>
      </c>
      <c r="I227" t="s">
        <v>597</v>
      </c>
    </row>
    <row r="228" spans="1:9" x14ac:dyDescent="0.25">
      <c r="A228" t="s">
        <v>526</v>
      </c>
      <c r="B228" t="s">
        <v>254</v>
      </c>
      <c r="C228" s="8">
        <v>47407</v>
      </c>
      <c r="D228" s="8">
        <v>1</v>
      </c>
      <c r="F228" t="s">
        <v>614</v>
      </c>
      <c r="G228" t="s">
        <v>615</v>
      </c>
      <c r="H228" t="s">
        <v>596</v>
      </c>
      <c r="I228" t="s">
        <v>597</v>
      </c>
    </row>
    <row r="229" spans="1:9" x14ac:dyDescent="0.25">
      <c r="A229" t="s">
        <v>526</v>
      </c>
      <c r="B229" t="s">
        <v>254</v>
      </c>
      <c r="C229" s="8">
        <v>47452</v>
      </c>
      <c r="D229" s="8">
        <v>1</v>
      </c>
      <c r="F229" t="s">
        <v>614</v>
      </c>
      <c r="G229" t="s">
        <v>615</v>
      </c>
      <c r="H229" t="s">
        <v>596</v>
      </c>
      <c r="I229" t="s">
        <v>597</v>
      </c>
    </row>
    <row r="230" spans="1:9" x14ac:dyDescent="0.25">
      <c r="A230" t="s">
        <v>526</v>
      </c>
      <c r="B230" t="s">
        <v>254</v>
      </c>
      <c r="C230" s="8">
        <v>47499.5</v>
      </c>
      <c r="D230" s="8">
        <v>1</v>
      </c>
      <c r="F230" t="s">
        <v>614</v>
      </c>
      <c r="G230" t="s">
        <v>615</v>
      </c>
      <c r="H230" t="s">
        <v>596</v>
      </c>
      <c r="I230" t="s">
        <v>597</v>
      </c>
    </row>
    <row r="231" spans="1:9" x14ac:dyDescent="0.25">
      <c r="A231" t="s">
        <v>526</v>
      </c>
      <c r="B231" t="s">
        <v>254</v>
      </c>
      <c r="C231" s="8">
        <v>47725</v>
      </c>
      <c r="D231" s="8">
        <v>0</v>
      </c>
      <c r="F231" t="s">
        <v>620</v>
      </c>
      <c r="G231" t="s">
        <v>552</v>
      </c>
      <c r="H231" t="s">
        <v>596</v>
      </c>
      <c r="I231" t="s">
        <v>597</v>
      </c>
    </row>
    <row r="232" spans="1:9" x14ac:dyDescent="0.25">
      <c r="A232" t="s">
        <v>526</v>
      </c>
      <c r="B232" t="s">
        <v>254</v>
      </c>
      <c r="C232" s="8">
        <v>47769.46</v>
      </c>
      <c r="D232" s="8">
        <v>0</v>
      </c>
      <c r="F232" t="s">
        <v>620</v>
      </c>
      <c r="G232" t="s">
        <v>552</v>
      </c>
      <c r="H232" t="s">
        <v>596</v>
      </c>
      <c r="I232" t="s">
        <v>597</v>
      </c>
    </row>
    <row r="233" spans="1:9" x14ac:dyDescent="0.25">
      <c r="A233" t="s">
        <v>526</v>
      </c>
      <c r="B233" t="s">
        <v>254</v>
      </c>
      <c r="C233" s="8">
        <v>47769.5</v>
      </c>
      <c r="D233" s="8">
        <v>1</v>
      </c>
      <c r="F233" t="s">
        <v>614</v>
      </c>
      <c r="G233" t="s">
        <v>615</v>
      </c>
      <c r="H233" t="s">
        <v>596</v>
      </c>
      <c r="I233" t="s">
        <v>597</v>
      </c>
    </row>
    <row r="234" spans="1:9" x14ac:dyDescent="0.25">
      <c r="A234" t="s">
        <v>526</v>
      </c>
      <c r="B234" t="s">
        <v>254</v>
      </c>
      <c r="C234" s="8">
        <v>47813</v>
      </c>
      <c r="D234" s="8">
        <v>1</v>
      </c>
      <c r="F234" t="s">
        <v>614</v>
      </c>
      <c r="G234" t="s">
        <v>615</v>
      </c>
      <c r="H234" t="s">
        <v>596</v>
      </c>
      <c r="I234" t="s">
        <v>597</v>
      </c>
    </row>
    <row r="235" spans="1:9" x14ac:dyDescent="0.25">
      <c r="A235" t="s">
        <v>526</v>
      </c>
      <c r="B235" t="s">
        <v>254</v>
      </c>
      <c r="C235" s="8">
        <v>47859.5</v>
      </c>
      <c r="D235" s="8">
        <v>1</v>
      </c>
      <c r="F235" t="s">
        <v>614</v>
      </c>
      <c r="G235" t="s">
        <v>615</v>
      </c>
      <c r="H235" t="s">
        <v>596</v>
      </c>
      <c r="I235" t="s">
        <v>597</v>
      </c>
    </row>
    <row r="236" spans="1:9" x14ac:dyDescent="0.25">
      <c r="A236" t="s">
        <v>526</v>
      </c>
      <c r="B236" t="s">
        <v>254</v>
      </c>
      <c r="C236" s="8">
        <v>47907.519999999997</v>
      </c>
      <c r="D236" s="8">
        <v>0</v>
      </c>
      <c r="F236" t="s">
        <v>621</v>
      </c>
      <c r="G236" t="s">
        <v>622</v>
      </c>
      <c r="H236" t="s">
        <v>596</v>
      </c>
      <c r="I236" t="s">
        <v>597</v>
      </c>
    </row>
    <row r="237" spans="1:9" x14ac:dyDescent="0.25">
      <c r="A237" t="s">
        <v>526</v>
      </c>
      <c r="B237" t="s">
        <v>254</v>
      </c>
      <c r="C237" s="8">
        <v>48084.29</v>
      </c>
      <c r="D237" s="8">
        <v>0</v>
      </c>
      <c r="F237" t="s">
        <v>620</v>
      </c>
      <c r="G237" t="s">
        <v>552</v>
      </c>
      <c r="H237" t="s">
        <v>596</v>
      </c>
      <c r="I237" t="s">
        <v>597</v>
      </c>
    </row>
    <row r="238" spans="1:9" x14ac:dyDescent="0.25">
      <c r="A238" t="s">
        <v>526</v>
      </c>
      <c r="B238" t="s">
        <v>254</v>
      </c>
      <c r="C238" s="8">
        <v>48172</v>
      </c>
      <c r="D238" s="8">
        <v>1</v>
      </c>
      <c r="F238" t="s">
        <v>614</v>
      </c>
      <c r="G238" t="s">
        <v>615</v>
      </c>
      <c r="H238" t="s">
        <v>596</v>
      </c>
      <c r="I238" t="s">
        <v>597</v>
      </c>
    </row>
    <row r="239" spans="1:9" x14ac:dyDescent="0.25">
      <c r="A239" t="s">
        <v>526</v>
      </c>
      <c r="B239" t="s">
        <v>254</v>
      </c>
      <c r="C239" s="8">
        <v>48174</v>
      </c>
      <c r="D239" s="8">
        <v>0</v>
      </c>
      <c r="F239" t="s">
        <v>620</v>
      </c>
      <c r="G239" t="s">
        <v>552</v>
      </c>
      <c r="H239" t="s">
        <v>596</v>
      </c>
      <c r="I239" t="s">
        <v>597</v>
      </c>
    </row>
    <row r="240" spans="1:9" x14ac:dyDescent="0.25">
      <c r="A240" t="s">
        <v>526</v>
      </c>
      <c r="B240" t="s">
        <v>254</v>
      </c>
      <c r="C240" s="8">
        <v>48175.25</v>
      </c>
      <c r="D240" s="8">
        <v>0</v>
      </c>
      <c r="F240" t="s">
        <v>620</v>
      </c>
      <c r="G240" t="s">
        <v>552</v>
      </c>
      <c r="H240" t="s">
        <v>596</v>
      </c>
      <c r="I240" t="s">
        <v>597</v>
      </c>
    </row>
    <row r="241" spans="1:9" x14ac:dyDescent="0.25">
      <c r="A241" t="s">
        <v>526</v>
      </c>
      <c r="B241" t="s">
        <v>254</v>
      </c>
      <c r="C241" s="8">
        <v>48218</v>
      </c>
      <c r="D241" s="8">
        <v>1</v>
      </c>
      <c r="F241" t="s">
        <v>614</v>
      </c>
      <c r="G241" t="s">
        <v>615</v>
      </c>
      <c r="H241" t="s">
        <v>596</v>
      </c>
      <c r="I241" t="s">
        <v>597</v>
      </c>
    </row>
    <row r="242" spans="1:9" x14ac:dyDescent="0.25">
      <c r="A242" t="s">
        <v>526</v>
      </c>
      <c r="B242" t="s">
        <v>254</v>
      </c>
      <c r="C242" s="8">
        <v>48447.66</v>
      </c>
      <c r="D242" s="8">
        <v>0</v>
      </c>
      <c r="F242" t="s">
        <v>621</v>
      </c>
      <c r="G242" t="s">
        <v>622</v>
      </c>
      <c r="H242" t="s">
        <v>596</v>
      </c>
      <c r="I242" t="s">
        <v>597</v>
      </c>
    </row>
    <row r="243" spans="1:9" x14ac:dyDescent="0.25">
      <c r="A243" t="s">
        <v>526</v>
      </c>
      <c r="B243" t="s">
        <v>254</v>
      </c>
      <c r="C243" s="8">
        <v>48488.5</v>
      </c>
      <c r="D243" s="8">
        <v>1</v>
      </c>
      <c r="F243" t="s">
        <v>614</v>
      </c>
      <c r="G243" t="s">
        <v>615</v>
      </c>
      <c r="H243" t="s">
        <v>596</v>
      </c>
      <c r="I243" t="s">
        <v>597</v>
      </c>
    </row>
    <row r="244" spans="1:9" x14ac:dyDescent="0.25">
      <c r="A244" t="s">
        <v>526</v>
      </c>
      <c r="B244" t="s">
        <v>254</v>
      </c>
      <c r="C244" s="8">
        <v>48489.18</v>
      </c>
      <c r="D244" s="8">
        <v>0</v>
      </c>
      <c r="F244" t="s">
        <v>620</v>
      </c>
      <c r="G244" t="s">
        <v>552</v>
      </c>
      <c r="H244" t="s">
        <v>596</v>
      </c>
      <c r="I244" t="s">
        <v>597</v>
      </c>
    </row>
    <row r="245" spans="1:9" x14ac:dyDescent="0.25">
      <c r="A245" t="s">
        <v>526</v>
      </c>
      <c r="B245" t="s">
        <v>254</v>
      </c>
      <c r="C245" s="8">
        <v>48533.5</v>
      </c>
      <c r="D245" s="8">
        <v>1</v>
      </c>
      <c r="F245" t="s">
        <v>614</v>
      </c>
      <c r="G245" t="s">
        <v>615</v>
      </c>
      <c r="H245" t="s">
        <v>596</v>
      </c>
      <c r="I245" t="s">
        <v>597</v>
      </c>
    </row>
    <row r="246" spans="1:9" x14ac:dyDescent="0.25">
      <c r="A246" t="s">
        <v>526</v>
      </c>
      <c r="B246" t="s">
        <v>254</v>
      </c>
      <c r="C246" s="8">
        <v>48533.7</v>
      </c>
      <c r="D246" s="8">
        <v>0</v>
      </c>
      <c r="F246" t="s">
        <v>620</v>
      </c>
      <c r="G246" t="s">
        <v>552</v>
      </c>
      <c r="H246" t="s">
        <v>596</v>
      </c>
      <c r="I246" t="s">
        <v>597</v>
      </c>
    </row>
    <row r="247" spans="1:9" x14ac:dyDescent="0.25">
      <c r="A247" t="s">
        <v>526</v>
      </c>
      <c r="B247" t="s">
        <v>254</v>
      </c>
      <c r="C247" s="8">
        <v>48582</v>
      </c>
      <c r="D247" s="8">
        <v>0</v>
      </c>
      <c r="F247" t="s">
        <v>620</v>
      </c>
      <c r="G247" t="s">
        <v>552</v>
      </c>
      <c r="H247" t="s">
        <v>596</v>
      </c>
      <c r="I247" t="s">
        <v>597</v>
      </c>
    </row>
    <row r="248" spans="1:9" x14ac:dyDescent="0.25">
      <c r="A248" t="s">
        <v>526</v>
      </c>
      <c r="B248" t="s">
        <v>254</v>
      </c>
      <c r="C248" s="8">
        <v>48622.5</v>
      </c>
      <c r="D248" s="8">
        <v>1</v>
      </c>
      <c r="F248" t="s">
        <v>614</v>
      </c>
      <c r="G248" t="s">
        <v>615</v>
      </c>
      <c r="H248" t="s">
        <v>596</v>
      </c>
      <c r="I248" t="s">
        <v>597</v>
      </c>
    </row>
    <row r="249" spans="1:9" x14ac:dyDescent="0.25">
      <c r="A249" t="s">
        <v>526</v>
      </c>
      <c r="B249" t="s">
        <v>254</v>
      </c>
      <c r="C249" s="8">
        <v>48802</v>
      </c>
      <c r="D249" s="8">
        <v>1</v>
      </c>
      <c r="F249" t="s">
        <v>614</v>
      </c>
      <c r="G249" t="s">
        <v>615</v>
      </c>
      <c r="H249" t="s">
        <v>596</v>
      </c>
      <c r="I249" t="s">
        <v>597</v>
      </c>
    </row>
    <row r="250" spans="1:9" x14ac:dyDescent="0.25">
      <c r="A250" t="s">
        <v>526</v>
      </c>
      <c r="B250" t="s">
        <v>254</v>
      </c>
      <c r="C250" s="8">
        <v>48893.96</v>
      </c>
      <c r="D250" s="8">
        <v>0</v>
      </c>
      <c r="F250" t="s">
        <v>620</v>
      </c>
      <c r="G250" t="s">
        <v>552</v>
      </c>
      <c r="H250" t="s">
        <v>596</v>
      </c>
      <c r="I250" t="s">
        <v>597</v>
      </c>
    </row>
    <row r="251" spans="1:9" x14ac:dyDescent="0.25">
      <c r="A251" t="s">
        <v>526</v>
      </c>
      <c r="B251" t="s">
        <v>254</v>
      </c>
      <c r="C251" s="8">
        <v>48982</v>
      </c>
      <c r="D251" s="8">
        <v>0</v>
      </c>
      <c r="F251" t="s">
        <v>620</v>
      </c>
      <c r="G251" t="s">
        <v>552</v>
      </c>
      <c r="H251" t="s">
        <v>596</v>
      </c>
      <c r="I251" t="s">
        <v>597</v>
      </c>
    </row>
    <row r="252" spans="1:9" x14ac:dyDescent="0.25">
      <c r="A252" t="s">
        <v>526</v>
      </c>
      <c r="B252" t="s">
        <v>254</v>
      </c>
      <c r="C252" s="8">
        <v>48982.53</v>
      </c>
      <c r="D252" s="8">
        <v>0</v>
      </c>
      <c r="F252" t="s">
        <v>620</v>
      </c>
      <c r="G252" t="s">
        <v>552</v>
      </c>
      <c r="H252" t="s">
        <v>596</v>
      </c>
      <c r="I252" t="s">
        <v>597</v>
      </c>
    </row>
    <row r="253" spans="1:9" x14ac:dyDescent="0.25">
      <c r="A253" t="s">
        <v>526</v>
      </c>
      <c r="B253" t="s">
        <v>254</v>
      </c>
      <c r="C253" s="8">
        <v>49162.86</v>
      </c>
      <c r="D253" s="8">
        <v>0</v>
      </c>
      <c r="F253" t="s">
        <v>620</v>
      </c>
      <c r="G253" t="s">
        <v>552</v>
      </c>
      <c r="H253" t="s">
        <v>596</v>
      </c>
      <c r="I253" t="s">
        <v>597</v>
      </c>
    </row>
    <row r="254" spans="1:9" x14ac:dyDescent="0.25">
      <c r="A254" t="s">
        <v>526</v>
      </c>
      <c r="B254" t="s">
        <v>254</v>
      </c>
      <c r="C254" s="8">
        <v>49207.1</v>
      </c>
      <c r="D254" s="8">
        <v>0</v>
      </c>
      <c r="F254" t="s">
        <v>620</v>
      </c>
      <c r="G254" t="s">
        <v>552</v>
      </c>
      <c r="H254" t="s">
        <v>596</v>
      </c>
      <c r="I254" t="s">
        <v>597</v>
      </c>
    </row>
    <row r="255" spans="1:9" x14ac:dyDescent="0.25">
      <c r="A255" t="s">
        <v>526</v>
      </c>
      <c r="B255" t="s">
        <v>254</v>
      </c>
      <c r="C255" s="8">
        <v>49210.25</v>
      </c>
      <c r="D255" s="8">
        <v>0</v>
      </c>
      <c r="F255" t="s">
        <v>620</v>
      </c>
      <c r="G255" t="s">
        <v>552</v>
      </c>
      <c r="H255" t="s">
        <v>596</v>
      </c>
      <c r="I255" t="s">
        <v>597</v>
      </c>
    </row>
    <row r="256" spans="1:9" x14ac:dyDescent="0.25">
      <c r="A256" t="s">
        <v>526</v>
      </c>
      <c r="B256" t="s">
        <v>254</v>
      </c>
      <c r="C256" s="8">
        <v>49522.5</v>
      </c>
      <c r="D256" s="8">
        <v>0</v>
      </c>
      <c r="F256" t="s">
        <v>620</v>
      </c>
      <c r="G256" t="s">
        <v>552</v>
      </c>
      <c r="H256" t="s">
        <v>596</v>
      </c>
      <c r="I256" t="s">
        <v>597</v>
      </c>
    </row>
    <row r="257" spans="1:9" x14ac:dyDescent="0.25">
      <c r="A257" t="s">
        <v>526</v>
      </c>
      <c r="B257" t="s">
        <v>254</v>
      </c>
      <c r="C257" s="8">
        <v>49653.5</v>
      </c>
      <c r="D257" s="8">
        <v>1</v>
      </c>
      <c r="F257" t="s">
        <v>614</v>
      </c>
      <c r="G257" t="s">
        <v>615</v>
      </c>
      <c r="H257" t="s">
        <v>596</v>
      </c>
      <c r="I257" t="s">
        <v>597</v>
      </c>
    </row>
    <row r="258" spans="1:9" x14ac:dyDescent="0.25">
      <c r="A258" t="s">
        <v>526</v>
      </c>
      <c r="B258" t="s">
        <v>254</v>
      </c>
      <c r="C258" s="8">
        <v>49654</v>
      </c>
      <c r="D258" s="8">
        <v>1</v>
      </c>
      <c r="F258" t="s">
        <v>614</v>
      </c>
      <c r="G258" t="s">
        <v>615</v>
      </c>
      <c r="H258" t="s">
        <v>596</v>
      </c>
      <c r="I258" t="s">
        <v>597</v>
      </c>
    </row>
    <row r="259" spans="1:9" x14ac:dyDescent="0.25">
      <c r="A259" t="s">
        <v>526</v>
      </c>
      <c r="B259" t="s">
        <v>254</v>
      </c>
      <c r="C259" s="8">
        <v>49880.5</v>
      </c>
      <c r="D259" s="8">
        <v>0</v>
      </c>
      <c r="F259" t="s">
        <v>620</v>
      </c>
      <c r="G259" t="s">
        <v>552</v>
      </c>
      <c r="H259" t="s">
        <v>596</v>
      </c>
      <c r="I259" t="s">
        <v>597</v>
      </c>
    </row>
    <row r="260" spans="1:9" x14ac:dyDescent="0.25">
      <c r="A260" t="s">
        <v>526</v>
      </c>
      <c r="B260" t="s">
        <v>254</v>
      </c>
      <c r="C260" s="8">
        <v>49927.66</v>
      </c>
      <c r="D260" s="8">
        <v>0</v>
      </c>
      <c r="F260" t="s">
        <v>620</v>
      </c>
      <c r="G260" t="s">
        <v>552</v>
      </c>
      <c r="H260" t="s">
        <v>596</v>
      </c>
      <c r="I260" t="s">
        <v>597</v>
      </c>
    </row>
    <row r="261" spans="1:9" x14ac:dyDescent="0.25">
      <c r="A261" t="s">
        <v>526</v>
      </c>
      <c r="B261" t="s">
        <v>254</v>
      </c>
      <c r="C261" s="8">
        <v>50015.33</v>
      </c>
      <c r="D261" s="8">
        <v>0</v>
      </c>
      <c r="F261" t="s">
        <v>623</v>
      </c>
      <c r="G261" t="s">
        <v>543</v>
      </c>
      <c r="H261" t="s">
        <v>596</v>
      </c>
      <c r="I261" t="s">
        <v>597</v>
      </c>
    </row>
    <row r="262" spans="1:9" x14ac:dyDescent="0.25">
      <c r="A262" t="s">
        <v>526</v>
      </c>
      <c r="B262" t="s">
        <v>254</v>
      </c>
      <c r="C262" s="8">
        <v>50240</v>
      </c>
      <c r="D262" s="8">
        <v>0</v>
      </c>
      <c r="F262" t="s">
        <v>620</v>
      </c>
      <c r="G262" t="s">
        <v>552</v>
      </c>
      <c r="H262" t="s">
        <v>596</v>
      </c>
      <c r="I262" t="s">
        <v>597</v>
      </c>
    </row>
    <row r="263" spans="1:9" x14ac:dyDescent="0.25">
      <c r="A263" t="s">
        <v>526</v>
      </c>
      <c r="B263" t="s">
        <v>254</v>
      </c>
      <c r="C263" s="8">
        <v>50600</v>
      </c>
      <c r="D263" s="8">
        <v>0</v>
      </c>
      <c r="F263" t="s">
        <v>620</v>
      </c>
      <c r="G263" t="s">
        <v>552</v>
      </c>
      <c r="H263" t="s">
        <v>596</v>
      </c>
      <c r="I263" t="s">
        <v>597</v>
      </c>
    </row>
    <row r="264" spans="1:9" x14ac:dyDescent="0.25">
      <c r="A264" t="s">
        <v>526</v>
      </c>
      <c r="B264" t="s">
        <v>254</v>
      </c>
      <c r="C264" s="8">
        <v>50642.5</v>
      </c>
      <c r="D264" s="8">
        <v>1</v>
      </c>
      <c r="F264" t="s">
        <v>614</v>
      </c>
      <c r="G264" t="s">
        <v>615</v>
      </c>
      <c r="H264" t="s">
        <v>596</v>
      </c>
      <c r="I264" t="s">
        <v>597</v>
      </c>
    </row>
    <row r="265" spans="1:9" x14ac:dyDescent="0.25">
      <c r="A265" t="s">
        <v>526</v>
      </c>
      <c r="B265" t="s">
        <v>254</v>
      </c>
      <c r="C265" s="8">
        <v>50688.7</v>
      </c>
      <c r="D265" s="8">
        <v>1</v>
      </c>
      <c r="F265" t="s">
        <v>614</v>
      </c>
      <c r="G265" t="s">
        <v>615</v>
      </c>
      <c r="H265" t="s">
        <v>596</v>
      </c>
      <c r="I265" t="s">
        <v>597</v>
      </c>
    </row>
    <row r="266" spans="1:9" x14ac:dyDescent="0.25">
      <c r="A266" t="s">
        <v>526</v>
      </c>
      <c r="B266" t="s">
        <v>254</v>
      </c>
      <c r="C266" s="8">
        <v>50733</v>
      </c>
      <c r="D266" s="8">
        <v>1</v>
      </c>
      <c r="F266" t="s">
        <v>614</v>
      </c>
      <c r="G266" t="s">
        <v>615</v>
      </c>
      <c r="H266" t="s">
        <v>596</v>
      </c>
      <c r="I266" t="s">
        <v>597</v>
      </c>
    </row>
    <row r="267" spans="1:9" x14ac:dyDescent="0.25">
      <c r="A267" t="s">
        <v>526</v>
      </c>
      <c r="B267" t="s">
        <v>254</v>
      </c>
      <c r="C267" s="8">
        <v>50736.4</v>
      </c>
      <c r="D267" s="8">
        <v>0</v>
      </c>
      <c r="F267" t="s">
        <v>620</v>
      </c>
      <c r="G267" t="s">
        <v>552</v>
      </c>
      <c r="H267" t="s">
        <v>596</v>
      </c>
      <c r="I267" t="s">
        <v>597</v>
      </c>
    </row>
    <row r="268" spans="1:9" x14ac:dyDescent="0.25">
      <c r="A268" t="s">
        <v>526</v>
      </c>
      <c r="B268" t="s">
        <v>254</v>
      </c>
      <c r="C268" s="8">
        <v>51001.5</v>
      </c>
      <c r="D268" s="8">
        <v>1</v>
      </c>
      <c r="F268" t="s">
        <v>614</v>
      </c>
      <c r="G268" t="s">
        <v>615</v>
      </c>
      <c r="H268" t="s">
        <v>596</v>
      </c>
      <c r="I268" t="s">
        <v>597</v>
      </c>
    </row>
    <row r="269" spans="1:9" x14ac:dyDescent="0.25">
      <c r="A269" t="s">
        <v>526</v>
      </c>
      <c r="B269" t="s">
        <v>254</v>
      </c>
      <c r="C269" s="8">
        <v>51046.5</v>
      </c>
      <c r="D269" s="8">
        <v>1</v>
      </c>
      <c r="F269" t="s">
        <v>614</v>
      </c>
      <c r="G269" t="s">
        <v>615</v>
      </c>
      <c r="H269" t="s">
        <v>596</v>
      </c>
      <c r="I269" t="s">
        <v>597</v>
      </c>
    </row>
    <row r="270" spans="1:9" x14ac:dyDescent="0.25">
      <c r="A270" t="s">
        <v>526</v>
      </c>
      <c r="B270" t="s">
        <v>254</v>
      </c>
      <c r="C270" s="8">
        <v>51048.36</v>
      </c>
      <c r="D270" s="8">
        <v>0</v>
      </c>
      <c r="F270" t="s">
        <v>620</v>
      </c>
      <c r="G270" t="s">
        <v>552</v>
      </c>
      <c r="H270" t="s">
        <v>596</v>
      </c>
      <c r="I270" t="s">
        <v>597</v>
      </c>
    </row>
    <row r="271" spans="1:9" x14ac:dyDescent="0.25">
      <c r="A271" t="s">
        <v>526</v>
      </c>
      <c r="B271" t="s">
        <v>254</v>
      </c>
      <c r="C271" s="8">
        <v>51051.4</v>
      </c>
      <c r="D271" s="8">
        <v>0</v>
      </c>
      <c r="F271" t="s">
        <v>620</v>
      </c>
      <c r="G271" t="s">
        <v>552</v>
      </c>
      <c r="H271" t="s">
        <v>596</v>
      </c>
      <c r="I271" t="s">
        <v>597</v>
      </c>
    </row>
    <row r="272" spans="1:9" x14ac:dyDescent="0.25">
      <c r="A272" t="s">
        <v>526</v>
      </c>
      <c r="B272" t="s">
        <v>254</v>
      </c>
      <c r="C272" s="8">
        <v>51226</v>
      </c>
      <c r="D272" s="8">
        <v>1</v>
      </c>
      <c r="F272" t="s">
        <v>614</v>
      </c>
      <c r="G272" t="s">
        <v>615</v>
      </c>
      <c r="H272" t="s">
        <v>596</v>
      </c>
      <c r="I272" t="s">
        <v>597</v>
      </c>
    </row>
    <row r="273" spans="1:9" x14ac:dyDescent="0.25">
      <c r="A273" t="s">
        <v>526</v>
      </c>
      <c r="B273" t="s">
        <v>254</v>
      </c>
      <c r="C273" s="8">
        <v>51317</v>
      </c>
      <c r="D273" s="8">
        <v>1</v>
      </c>
      <c r="F273" t="s">
        <v>614</v>
      </c>
      <c r="G273" t="s">
        <v>615</v>
      </c>
      <c r="H273" t="s">
        <v>596</v>
      </c>
      <c r="I273" t="s">
        <v>597</v>
      </c>
    </row>
    <row r="274" spans="1:9" x14ac:dyDescent="0.25">
      <c r="A274" t="s">
        <v>526</v>
      </c>
      <c r="B274" t="s">
        <v>254</v>
      </c>
      <c r="C274" s="8">
        <v>51362.400000000001</v>
      </c>
      <c r="D274" s="8">
        <v>1</v>
      </c>
      <c r="F274" t="s">
        <v>614</v>
      </c>
      <c r="G274" t="s">
        <v>615</v>
      </c>
      <c r="H274" t="s">
        <v>596</v>
      </c>
      <c r="I274" t="s">
        <v>597</v>
      </c>
    </row>
    <row r="275" spans="1:9" x14ac:dyDescent="0.25">
      <c r="A275" t="s">
        <v>526</v>
      </c>
      <c r="B275" t="s">
        <v>254</v>
      </c>
      <c r="C275" s="8">
        <v>51409.5</v>
      </c>
      <c r="D275" s="8">
        <v>1</v>
      </c>
      <c r="F275" t="s">
        <v>614</v>
      </c>
      <c r="G275" t="s">
        <v>615</v>
      </c>
      <c r="H275" t="s">
        <v>596</v>
      </c>
      <c r="I275" t="s">
        <v>597</v>
      </c>
    </row>
    <row r="276" spans="1:9" x14ac:dyDescent="0.25">
      <c r="A276" t="s">
        <v>526</v>
      </c>
      <c r="B276" t="s">
        <v>254</v>
      </c>
      <c r="C276" s="8">
        <v>51410.38</v>
      </c>
      <c r="D276" s="8">
        <v>0</v>
      </c>
      <c r="F276" t="s">
        <v>620</v>
      </c>
      <c r="G276" t="s">
        <v>552</v>
      </c>
      <c r="H276" t="s">
        <v>596</v>
      </c>
      <c r="I276" t="s">
        <v>597</v>
      </c>
    </row>
    <row r="277" spans="1:9" x14ac:dyDescent="0.25">
      <c r="A277" t="s">
        <v>526</v>
      </c>
      <c r="B277" t="s">
        <v>254</v>
      </c>
      <c r="C277" s="8">
        <v>51677.5</v>
      </c>
      <c r="D277" s="8">
        <v>1</v>
      </c>
      <c r="F277" t="s">
        <v>614</v>
      </c>
      <c r="G277" t="s">
        <v>615</v>
      </c>
      <c r="H277" t="s">
        <v>596</v>
      </c>
      <c r="I277" t="s">
        <v>597</v>
      </c>
    </row>
    <row r="278" spans="1:9" x14ac:dyDescent="0.25">
      <c r="A278" t="s">
        <v>526</v>
      </c>
      <c r="B278" t="s">
        <v>254</v>
      </c>
      <c r="C278" s="8">
        <v>51722.5</v>
      </c>
      <c r="D278" s="8">
        <v>1</v>
      </c>
      <c r="F278" t="s">
        <v>614</v>
      </c>
      <c r="G278" t="s">
        <v>615</v>
      </c>
      <c r="H278" t="s">
        <v>596</v>
      </c>
      <c r="I278" t="s">
        <v>597</v>
      </c>
    </row>
    <row r="279" spans="1:9" x14ac:dyDescent="0.25">
      <c r="A279" t="s">
        <v>526</v>
      </c>
      <c r="B279" t="s">
        <v>254</v>
      </c>
      <c r="C279" s="8">
        <v>51723.7</v>
      </c>
      <c r="D279" s="8">
        <v>0</v>
      </c>
      <c r="F279" t="s">
        <v>620</v>
      </c>
      <c r="G279" t="s">
        <v>552</v>
      </c>
      <c r="H279" t="s">
        <v>596</v>
      </c>
      <c r="I279" t="s">
        <v>597</v>
      </c>
    </row>
    <row r="280" spans="1:9" x14ac:dyDescent="0.25">
      <c r="A280" t="s">
        <v>526</v>
      </c>
      <c r="B280" t="s">
        <v>254</v>
      </c>
      <c r="C280" s="8">
        <v>51813</v>
      </c>
      <c r="D280" s="8">
        <v>1</v>
      </c>
      <c r="F280" t="s">
        <v>614</v>
      </c>
      <c r="G280" t="s">
        <v>615</v>
      </c>
      <c r="H280" t="s">
        <v>596</v>
      </c>
      <c r="I280" t="s">
        <v>597</v>
      </c>
    </row>
    <row r="281" spans="1:9" x14ac:dyDescent="0.25">
      <c r="A281" t="s">
        <v>526</v>
      </c>
      <c r="B281" t="s">
        <v>254</v>
      </c>
      <c r="C281" s="8">
        <v>52080</v>
      </c>
      <c r="D281" s="8">
        <v>1</v>
      </c>
      <c r="F281" t="s">
        <v>614</v>
      </c>
      <c r="G281" t="s">
        <v>615</v>
      </c>
      <c r="H281" t="s">
        <v>596</v>
      </c>
      <c r="I281" t="s">
        <v>597</v>
      </c>
    </row>
    <row r="282" spans="1:9" x14ac:dyDescent="0.25">
      <c r="A282" t="s">
        <v>526</v>
      </c>
      <c r="B282" t="s">
        <v>254</v>
      </c>
      <c r="C282" s="8">
        <v>52170</v>
      </c>
      <c r="D282" s="8">
        <v>1</v>
      </c>
      <c r="F282" t="s">
        <v>614</v>
      </c>
      <c r="G282" t="s">
        <v>615</v>
      </c>
      <c r="H282" t="s">
        <v>596</v>
      </c>
      <c r="I282" t="s">
        <v>597</v>
      </c>
    </row>
    <row r="283" spans="1:9" x14ac:dyDescent="0.25">
      <c r="A283" t="s">
        <v>526</v>
      </c>
      <c r="B283" t="s">
        <v>254</v>
      </c>
      <c r="C283" s="8">
        <v>52843.58</v>
      </c>
      <c r="D283" s="8">
        <v>0</v>
      </c>
      <c r="F283" t="s">
        <v>620</v>
      </c>
      <c r="G283" t="s">
        <v>552</v>
      </c>
      <c r="H283" t="s">
        <v>596</v>
      </c>
      <c r="I283" t="s">
        <v>597</v>
      </c>
    </row>
    <row r="284" spans="1:9" x14ac:dyDescent="0.25">
      <c r="A284" t="s">
        <v>526</v>
      </c>
      <c r="B284" t="s">
        <v>254</v>
      </c>
      <c r="C284" s="8">
        <v>53653.7</v>
      </c>
      <c r="D284" s="8">
        <v>0.3</v>
      </c>
      <c r="F284" t="s">
        <v>624</v>
      </c>
      <c r="G284" t="s">
        <v>552</v>
      </c>
      <c r="H284" t="s">
        <v>596</v>
      </c>
      <c r="I284" t="s">
        <v>597</v>
      </c>
    </row>
    <row r="285" spans="1:9" x14ac:dyDescent="0.25">
      <c r="A285" t="s">
        <v>526</v>
      </c>
      <c r="B285" t="s">
        <v>254</v>
      </c>
      <c r="C285" s="8">
        <v>53969.5</v>
      </c>
      <c r="D285" s="8">
        <v>1</v>
      </c>
      <c r="F285" t="s">
        <v>614</v>
      </c>
      <c r="G285" t="s">
        <v>615</v>
      </c>
      <c r="H285" t="s">
        <v>596</v>
      </c>
      <c r="I285" t="s">
        <v>597</v>
      </c>
    </row>
    <row r="286" spans="1:9" x14ac:dyDescent="0.25">
      <c r="A286" t="s">
        <v>526</v>
      </c>
      <c r="B286" t="s">
        <v>254</v>
      </c>
      <c r="C286" s="8">
        <v>54017</v>
      </c>
      <c r="D286" s="8">
        <v>1</v>
      </c>
      <c r="F286" t="s">
        <v>614</v>
      </c>
      <c r="G286" t="s">
        <v>615</v>
      </c>
      <c r="H286" t="s">
        <v>596</v>
      </c>
      <c r="I286" t="s">
        <v>597</v>
      </c>
    </row>
    <row r="287" spans="1:9" x14ac:dyDescent="0.25">
      <c r="A287" t="s">
        <v>526</v>
      </c>
      <c r="B287" t="s">
        <v>254</v>
      </c>
      <c r="C287" s="8">
        <v>54330</v>
      </c>
      <c r="D287" s="8">
        <v>1</v>
      </c>
      <c r="F287" t="s">
        <v>614</v>
      </c>
      <c r="G287" t="s">
        <v>615</v>
      </c>
      <c r="H287" t="s">
        <v>596</v>
      </c>
      <c r="I287" t="s">
        <v>597</v>
      </c>
    </row>
    <row r="288" spans="1:9" x14ac:dyDescent="0.25">
      <c r="A288" t="s">
        <v>526</v>
      </c>
      <c r="B288" t="s">
        <v>254</v>
      </c>
      <c r="C288" s="8">
        <v>54375.3</v>
      </c>
      <c r="D288" s="8">
        <v>0</v>
      </c>
      <c r="F288" t="s">
        <v>625</v>
      </c>
      <c r="G288" t="s">
        <v>552</v>
      </c>
      <c r="H288" t="s">
        <v>596</v>
      </c>
      <c r="I288" t="s">
        <v>597</v>
      </c>
    </row>
    <row r="289" spans="1:9" x14ac:dyDescent="0.25">
      <c r="A289" t="s">
        <v>526</v>
      </c>
      <c r="B289" t="s">
        <v>254</v>
      </c>
      <c r="C289" s="8">
        <v>54687.5</v>
      </c>
      <c r="D289" s="8">
        <v>1</v>
      </c>
      <c r="F289" t="s">
        <v>614</v>
      </c>
      <c r="G289" t="s">
        <v>615</v>
      </c>
      <c r="H289" t="s">
        <v>596</v>
      </c>
      <c r="I289" t="s">
        <v>597</v>
      </c>
    </row>
    <row r="290" spans="1:9" x14ac:dyDescent="0.25">
      <c r="A290" t="s">
        <v>526</v>
      </c>
      <c r="B290" t="s">
        <v>254</v>
      </c>
      <c r="C290" s="8">
        <v>54736</v>
      </c>
      <c r="D290" s="8">
        <v>2</v>
      </c>
      <c r="F290" t="s">
        <v>614</v>
      </c>
      <c r="G290" t="s">
        <v>615</v>
      </c>
      <c r="H290" t="s">
        <v>596</v>
      </c>
      <c r="I290" t="s">
        <v>597</v>
      </c>
    </row>
    <row r="291" spans="1:9" x14ac:dyDescent="0.25">
      <c r="A291" t="s">
        <v>526</v>
      </c>
      <c r="B291" t="s">
        <v>254</v>
      </c>
      <c r="C291" s="8">
        <v>55050</v>
      </c>
      <c r="D291" s="8">
        <v>1</v>
      </c>
      <c r="F291" t="s">
        <v>614</v>
      </c>
      <c r="G291" t="s">
        <v>615</v>
      </c>
      <c r="H291" t="s">
        <v>596</v>
      </c>
      <c r="I291" t="s">
        <v>597</v>
      </c>
    </row>
    <row r="292" spans="1:9" x14ac:dyDescent="0.25">
      <c r="A292" t="s">
        <v>526</v>
      </c>
      <c r="B292" t="s">
        <v>254</v>
      </c>
      <c r="C292" s="8">
        <v>55094.5</v>
      </c>
      <c r="D292" s="8">
        <v>1</v>
      </c>
      <c r="F292" t="s">
        <v>614</v>
      </c>
      <c r="G292" t="s">
        <v>615</v>
      </c>
      <c r="H292" t="s">
        <v>596</v>
      </c>
      <c r="I292" t="s">
        <v>597</v>
      </c>
    </row>
    <row r="293" spans="1:9" x14ac:dyDescent="0.25">
      <c r="A293" t="s">
        <v>526</v>
      </c>
      <c r="B293" t="s">
        <v>254</v>
      </c>
      <c r="C293" s="8">
        <v>55274</v>
      </c>
      <c r="D293" s="8">
        <v>1</v>
      </c>
      <c r="F293" t="s">
        <v>614</v>
      </c>
      <c r="G293" t="s">
        <v>615</v>
      </c>
      <c r="H293" t="s">
        <v>596</v>
      </c>
      <c r="I293" t="s">
        <v>597</v>
      </c>
    </row>
    <row r="294" spans="1:9" x14ac:dyDescent="0.25">
      <c r="A294" t="s">
        <v>526</v>
      </c>
      <c r="B294" t="s">
        <v>254</v>
      </c>
      <c r="C294" s="8">
        <v>55320</v>
      </c>
      <c r="D294" s="8">
        <v>2</v>
      </c>
      <c r="F294" t="s">
        <v>614</v>
      </c>
      <c r="G294" t="s">
        <v>615</v>
      </c>
      <c r="H294" t="s">
        <v>596</v>
      </c>
      <c r="I294" t="s">
        <v>597</v>
      </c>
    </row>
    <row r="295" spans="1:9" x14ac:dyDescent="0.25">
      <c r="A295" t="s">
        <v>526</v>
      </c>
      <c r="B295" t="s">
        <v>254</v>
      </c>
      <c r="C295" s="8">
        <v>55363.5</v>
      </c>
      <c r="D295" s="8">
        <v>1</v>
      </c>
      <c r="F295" t="s">
        <v>614</v>
      </c>
      <c r="G295" t="s">
        <v>615</v>
      </c>
      <c r="H295" t="s">
        <v>596</v>
      </c>
      <c r="I295" t="s">
        <v>597</v>
      </c>
    </row>
    <row r="296" spans="1:9" x14ac:dyDescent="0.25">
      <c r="A296" t="s">
        <v>526</v>
      </c>
      <c r="B296" t="s">
        <v>254</v>
      </c>
      <c r="C296" s="8">
        <v>55410</v>
      </c>
      <c r="D296" s="8">
        <v>0</v>
      </c>
      <c r="F296" t="s">
        <v>620</v>
      </c>
      <c r="G296" t="s">
        <v>552</v>
      </c>
      <c r="H296" t="s">
        <v>596</v>
      </c>
      <c r="I296" t="s">
        <v>597</v>
      </c>
    </row>
    <row r="297" spans="1:9" x14ac:dyDescent="0.25">
      <c r="A297" t="s">
        <v>526</v>
      </c>
      <c r="B297" t="s">
        <v>254</v>
      </c>
      <c r="C297" s="8">
        <v>55454</v>
      </c>
      <c r="D297" s="8">
        <v>2</v>
      </c>
      <c r="F297" t="s">
        <v>614</v>
      </c>
      <c r="G297" t="s">
        <v>615</v>
      </c>
      <c r="H297" t="s">
        <v>596</v>
      </c>
      <c r="I297" t="s">
        <v>597</v>
      </c>
    </row>
    <row r="298" spans="1:9" x14ac:dyDescent="0.25">
      <c r="A298" t="s">
        <v>526</v>
      </c>
      <c r="B298" t="s">
        <v>254</v>
      </c>
      <c r="C298" s="8">
        <v>55498</v>
      </c>
      <c r="D298" s="8">
        <v>1</v>
      </c>
      <c r="F298" t="s">
        <v>614</v>
      </c>
      <c r="G298" t="s">
        <v>615</v>
      </c>
      <c r="H298" t="s">
        <v>596</v>
      </c>
      <c r="I298" t="s">
        <v>597</v>
      </c>
    </row>
    <row r="299" spans="1:9" x14ac:dyDescent="0.25">
      <c r="A299" t="s">
        <v>526</v>
      </c>
      <c r="B299" t="s">
        <v>254</v>
      </c>
      <c r="C299" s="8">
        <v>55768.18</v>
      </c>
      <c r="D299" s="8">
        <v>0</v>
      </c>
      <c r="F299" t="s">
        <v>626</v>
      </c>
      <c r="G299" t="s">
        <v>627</v>
      </c>
      <c r="H299" t="s">
        <v>596</v>
      </c>
      <c r="I299" t="s">
        <v>597</v>
      </c>
    </row>
    <row r="300" spans="1:9" x14ac:dyDescent="0.25">
      <c r="A300" t="s">
        <v>526</v>
      </c>
      <c r="B300" t="s">
        <v>254</v>
      </c>
      <c r="C300" s="8">
        <v>55814</v>
      </c>
      <c r="D300" s="8">
        <v>0</v>
      </c>
      <c r="F300" t="s">
        <v>626</v>
      </c>
      <c r="G300" t="s">
        <v>627</v>
      </c>
      <c r="H300" t="s">
        <v>596</v>
      </c>
      <c r="I300" t="s">
        <v>597</v>
      </c>
    </row>
    <row r="301" spans="1:9" x14ac:dyDescent="0.25">
      <c r="A301" t="s">
        <v>526</v>
      </c>
      <c r="B301" t="s">
        <v>254</v>
      </c>
      <c r="C301" s="8">
        <v>55857</v>
      </c>
      <c r="D301" s="8">
        <v>1</v>
      </c>
      <c r="F301" t="s">
        <v>614</v>
      </c>
      <c r="G301" t="s">
        <v>615</v>
      </c>
      <c r="H301" t="s">
        <v>596</v>
      </c>
      <c r="I301" t="s">
        <v>597</v>
      </c>
    </row>
    <row r="302" spans="1:9" x14ac:dyDescent="0.25">
      <c r="A302" t="s">
        <v>526</v>
      </c>
      <c r="B302" t="s">
        <v>254</v>
      </c>
      <c r="C302" s="8">
        <v>56032.03</v>
      </c>
      <c r="D302" s="8">
        <v>0</v>
      </c>
      <c r="F302" t="s">
        <v>626</v>
      </c>
      <c r="G302" t="s">
        <v>627</v>
      </c>
      <c r="H302" t="s">
        <v>596</v>
      </c>
      <c r="I302" t="s">
        <v>597</v>
      </c>
    </row>
    <row r="303" spans="1:9" x14ac:dyDescent="0.25">
      <c r="A303" t="s">
        <v>526</v>
      </c>
      <c r="B303" t="s">
        <v>254</v>
      </c>
      <c r="C303" s="8">
        <v>56082</v>
      </c>
      <c r="D303" s="8">
        <v>0</v>
      </c>
      <c r="F303" t="s">
        <v>626</v>
      </c>
      <c r="G303" t="s">
        <v>627</v>
      </c>
      <c r="H303" t="s">
        <v>596</v>
      </c>
      <c r="I303" t="s">
        <v>597</v>
      </c>
    </row>
    <row r="304" spans="1:9" x14ac:dyDescent="0.25">
      <c r="A304" t="s">
        <v>526</v>
      </c>
      <c r="B304" t="s">
        <v>254</v>
      </c>
      <c r="C304" s="8">
        <v>56532.02</v>
      </c>
      <c r="D304" s="8">
        <v>0</v>
      </c>
      <c r="F304" t="s">
        <v>620</v>
      </c>
      <c r="G304" t="s">
        <v>552</v>
      </c>
      <c r="H304" t="s">
        <v>596</v>
      </c>
      <c r="I304" t="s">
        <v>597</v>
      </c>
    </row>
    <row r="305" spans="1:9" x14ac:dyDescent="0.25">
      <c r="A305" t="s">
        <v>526</v>
      </c>
      <c r="B305" t="s">
        <v>254</v>
      </c>
      <c r="C305" s="8">
        <v>56800.3</v>
      </c>
      <c r="D305" s="8">
        <v>0</v>
      </c>
      <c r="F305" t="s">
        <v>626</v>
      </c>
      <c r="G305" t="s">
        <v>627</v>
      </c>
      <c r="H305" t="s">
        <v>596</v>
      </c>
      <c r="I305" t="s">
        <v>597</v>
      </c>
    </row>
    <row r="306" spans="1:9" x14ac:dyDescent="0.25">
      <c r="A306" t="s">
        <v>526</v>
      </c>
      <c r="B306" t="s">
        <v>254</v>
      </c>
      <c r="C306" s="8">
        <v>56890</v>
      </c>
      <c r="D306" s="8">
        <v>0</v>
      </c>
      <c r="F306" t="s">
        <v>626</v>
      </c>
      <c r="G306" t="s">
        <v>627</v>
      </c>
      <c r="H306" t="s">
        <v>596</v>
      </c>
      <c r="I306" t="s">
        <v>597</v>
      </c>
    </row>
    <row r="307" spans="1:9" x14ac:dyDescent="0.25">
      <c r="A307" t="s">
        <v>526</v>
      </c>
      <c r="B307" t="s">
        <v>254</v>
      </c>
      <c r="C307" s="8">
        <v>56890.8</v>
      </c>
      <c r="D307" s="8">
        <v>0</v>
      </c>
      <c r="F307" t="s">
        <v>620</v>
      </c>
      <c r="G307" t="s">
        <v>552</v>
      </c>
      <c r="H307" t="s">
        <v>596</v>
      </c>
      <c r="I307" t="s">
        <v>597</v>
      </c>
    </row>
    <row r="308" spans="1:9" x14ac:dyDescent="0.25">
      <c r="A308" t="s">
        <v>526</v>
      </c>
      <c r="B308" t="s">
        <v>254</v>
      </c>
      <c r="C308" s="8">
        <v>57163</v>
      </c>
      <c r="D308" s="8">
        <v>0</v>
      </c>
      <c r="F308" t="s">
        <v>626</v>
      </c>
      <c r="G308" t="s">
        <v>627</v>
      </c>
      <c r="H308" t="s">
        <v>596</v>
      </c>
      <c r="I308" t="s">
        <v>597</v>
      </c>
    </row>
    <row r="309" spans="1:9" x14ac:dyDescent="0.25">
      <c r="A309" t="s">
        <v>526</v>
      </c>
      <c r="B309" t="s">
        <v>254</v>
      </c>
      <c r="C309" s="8">
        <v>57248.89</v>
      </c>
      <c r="D309" s="8">
        <v>0</v>
      </c>
      <c r="F309" t="s">
        <v>628</v>
      </c>
      <c r="G309" t="s">
        <v>629</v>
      </c>
      <c r="H309" t="s">
        <v>596</v>
      </c>
      <c r="I309" t="s">
        <v>597</v>
      </c>
    </row>
    <row r="310" spans="1:9" x14ac:dyDescent="0.25">
      <c r="A310" t="s">
        <v>526</v>
      </c>
      <c r="B310" t="s">
        <v>254</v>
      </c>
      <c r="C310" s="8">
        <v>57294.5</v>
      </c>
      <c r="D310" s="8">
        <v>0</v>
      </c>
      <c r="F310" t="s">
        <v>626</v>
      </c>
      <c r="G310" t="s">
        <v>627</v>
      </c>
      <c r="H310" t="s">
        <v>596</v>
      </c>
      <c r="I310" t="s">
        <v>597</v>
      </c>
    </row>
    <row r="311" spans="1:9" x14ac:dyDescent="0.25">
      <c r="A311" t="s">
        <v>526</v>
      </c>
      <c r="B311" t="s">
        <v>254</v>
      </c>
      <c r="C311" s="8">
        <v>57566.2</v>
      </c>
      <c r="D311" s="8">
        <v>0</v>
      </c>
      <c r="F311" t="s">
        <v>626</v>
      </c>
      <c r="G311" t="s">
        <v>627</v>
      </c>
      <c r="H311" t="s">
        <v>596</v>
      </c>
      <c r="I311" t="s">
        <v>597</v>
      </c>
    </row>
    <row r="312" spans="1:9" x14ac:dyDescent="0.25">
      <c r="A312" t="s">
        <v>526</v>
      </c>
      <c r="B312" t="s">
        <v>254</v>
      </c>
      <c r="C312" s="8">
        <v>57608</v>
      </c>
      <c r="D312" s="8">
        <v>0</v>
      </c>
      <c r="F312" t="s">
        <v>626</v>
      </c>
      <c r="G312" t="s">
        <v>627</v>
      </c>
      <c r="H312" t="s">
        <v>596</v>
      </c>
      <c r="I312" t="s">
        <v>597</v>
      </c>
    </row>
    <row r="313" spans="1:9" x14ac:dyDescent="0.25">
      <c r="A313" t="s">
        <v>526</v>
      </c>
      <c r="B313" t="s">
        <v>254</v>
      </c>
      <c r="C313" s="8">
        <v>57654.9</v>
      </c>
      <c r="D313" s="8">
        <v>0</v>
      </c>
      <c r="F313" t="s">
        <v>626</v>
      </c>
      <c r="G313" t="s">
        <v>627</v>
      </c>
      <c r="H313" t="s">
        <v>596</v>
      </c>
      <c r="I313" t="s">
        <v>597</v>
      </c>
    </row>
    <row r="314" spans="1:9" x14ac:dyDescent="0.25">
      <c r="A314" t="s">
        <v>526</v>
      </c>
      <c r="B314" t="s">
        <v>254</v>
      </c>
      <c r="C314" s="8">
        <v>57877.98</v>
      </c>
      <c r="D314" s="8">
        <v>0</v>
      </c>
      <c r="F314" t="s">
        <v>628</v>
      </c>
      <c r="G314" t="s">
        <v>629</v>
      </c>
      <c r="H314" t="s">
        <v>596</v>
      </c>
      <c r="I314" t="s">
        <v>597</v>
      </c>
    </row>
    <row r="315" spans="1:9" x14ac:dyDescent="0.25">
      <c r="A315" t="s">
        <v>526</v>
      </c>
      <c r="B315" t="s">
        <v>254</v>
      </c>
      <c r="C315" s="8">
        <v>57923.23</v>
      </c>
      <c r="D315" s="8">
        <v>0</v>
      </c>
      <c r="F315" t="s">
        <v>626</v>
      </c>
      <c r="G315" t="s">
        <v>627</v>
      </c>
      <c r="H315" t="s">
        <v>596</v>
      </c>
      <c r="I315" t="s">
        <v>597</v>
      </c>
    </row>
    <row r="316" spans="1:9" x14ac:dyDescent="0.25">
      <c r="A316" t="s">
        <v>526</v>
      </c>
      <c r="B316" t="s">
        <v>254</v>
      </c>
      <c r="C316" s="8">
        <v>57967.83</v>
      </c>
      <c r="D316" s="8">
        <v>0</v>
      </c>
      <c r="F316" t="s">
        <v>628</v>
      </c>
      <c r="G316" t="s">
        <v>629</v>
      </c>
      <c r="H316" t="s">
        <v>596</v>
      </c>
      <c r="I316" t="s">
        <v>597</v>
      </c>
    </row>
    <row r="317" spans="1:9" x14ac:dyDescent="0.25">
      <c r="A317" t="s">
        <v>526</v>
      </c>
      <c r="B317" t="s">
        <v>254</v>
      </c>
      <c r="C317" s="8">
        <v>57968.1</v>
      </c>
      <c r="D317" s="8">
        <v>0</v>
      </c>
      <c r="F317" t="s">
        <v>626</v>
      </c>
      <c r="G317" t="s">
        <v>627</v>
      </c>
      <c r="H317" t="s">
        <v>596</v>
      </c>
      <c r="I317" t="s">
        <v>597</v>
      </c>
    </row>
    <row r="318" spans="1:9" x14ac:dyDescent="0.25">
      <c r="A318" t="s">
        <v>526</v>
      </c>
      <c r="B318" t="s">
        <v>254</v>
      </c>
      <c r="C318" s="8">
        <v>58056.9</v>
      </c>
      <c r="D318" s="8">
        <v>0</v>
      </c>
      <c r="F318" t="s">
        <v>626</v>
      </c>
      <c r="G318" t="s">
        <v>627</v>
      </c>
      <c r="H318" t="s">
        <v>596</v>
      </c>
      <c r="I318" t="s">
        <v>597</v>
      </c>
    </row>
    <row r="319" spans="1:9" x14ac:dyDescent="0.25">
      <c r="A319" t="s">
        <v>526</v>
      </c>
      <c r="B319" t="s">
        <v>254</v>
      </c>
      <c r="C319" s="8">
        <v>58729.5</v>
      </c>
      <c r="D319" s="8">
        <v>2</v>
      </c>
      <c r="F319" t="s">
        <v>614</v>
      </c>
      <c r="G319" t="s">
        <v>615</v>
      </c>
      <c r="H319" t="s">
        <v>596</v>
      </c>
      <c r="I319" t="s">
        <v>597</v>
      </c>
    </row>
    <row r="320" spans="1:9" x14ac:dyDescent="0.25">
      <c r="A320" t="s">
        <v>526</v>
      </c>
      <c r="B320" t="s">
        <v>254</v>
      </c>
      <c r="C320" s="8">
        <v>58730</v>
      </c>
      <c r="D320" s="8">
        <v>2</v>
      </c>
      <c r="F320" t="s">
        <v>614</v>
      </c>
      <c r="G320" t="s">
        <v>615</v>
      </c>
      <c r="H320" t="s">
        <v>596</v>
      </c>
      <c r="I320" t="s">
        <v>597</v>
      </c>
    </row>
    <row r="321" spans="1:10" x14ac:dyDescent="0.25">
      <c r="A321" t="s">
        <v>526</v>
      </c>
      <c r="B321" t="s">
        <v>254</v>
      </c>
      <c r="C321" s="8">
        <v>58773.5</v>
      </c>
      <c r="D321" s="8">
        <v>1</v>
      </c>
      <c r="F321" t="s">
        <v>614</v>
      </c>
      <c r="G321" t="s">
        <v>615</v>
      </c>
      <c r="H321" t="s">
        <v>596</v>
      </c>
      <c r="I321" t="s">
        <v>597</v>
      </c>
    </row>
    <row r="322" spans="1:10" x14ac:dyDescent="0.25">
      <c r="A322" t="s">
        <v>526</v>
      </c>
      <c r="B322" t="s">
        <v>254</v>
      </c>
      <c r="C322" s="8">
        <v>58954.5</v>
      </c>
      <c r="D322" s="8">
        <v>0.5</v>
      </c>
      <c r="F322" t="s">
        <v>614</v>
      </c>
      <c r="G322" t="s">
        <v>615</v>
      </c>
      <c r="H322" t="s">
        <v>596</v>
      </c>
      <c r="I322" t="s">
        <v>597</v>
      </c>
    </row>
    <row r="323" spans="1:10" x14ac:dyDescent="0.25">
      <c r="A323" t="s">
        <v>526</v>
      </c>
      <c r="B323" t="s">
        <v>254</v>
      </c>
      <c r="C323" s="8">
        <v>59000</v>
      </c>
      <c r="D323" s="8">
        <v>1</v>
      </c>
      <c r="F323" t="s">
        <v>614</v>
      </c>
      <c r="G323" t="s">
        <v>615</v>
      </c>
      <c r="H323" t="s">
        <v>596</v>
      </c>
      <c r="I323" t="s">
        <v>597</v>
      </c>
    </row>
    <row r="324" spans="1:10" x14ac:dyDescent="0.25">
      <c r="A324" t="s">
        <v>526</v>
      </c>
      <c r="B324" t="s">
        <v>254</v>
      </c>
      <c r="C324" s="8">
        <v>59044</v>
      </c>
      <c r="D324" s="8">
        <v>1</v>
      </c>
      <c r="F324" t="s">
        <v>614</v>
      </c>
      <c r="G324" t="s">
        <v>615</v>
      </c>
      <c r="H324" t="s">
        <v>596</v>
      </c>
      <c r="I324" t="s">
        <v>597</v>
      </c>
    </row>
    <row r="325" spans="1:10" x14ac:dyDescent="0.25">
      <c r="A325" t="s">
        <v>526</v>
      </c>
      <c r="B325" t="s">
        <v>254</v>
      </c>
      <c r="C325" s="8">
        <v>59088.5</v>
      </c>
      <c r="D325" s="8">
        <v>0.5</v>
      </c>
      <c r="F325" t="s">
        <v>614</v>
      </c>
      <c r="G325" t="s">
        <v>615</v>
      </c>
      <c r="H325" t="s">
        <v>596</v>
      </c>
      <c r="I325" t="s">
        <v>597</v>
      </c>
    </row>
    <row r="326" spans="1:10" x14ac:dyDescent="0.25">
      <c r="A326" t="s">
        <v>526</v>
      </c>
      <c r="B326" t="s">
        <v>254</v>
      </c>
      <c r="C326" s="8">
        <v>59358</v>
      </c>
      <c r="D326" s="8">
        <v>1</v>
      </c>
      <c r="F326" t="s">
        <v>614</v>
      </c>
      <c r="G326" t="s">
        <v>615</v>
      </c>
      <c r="H326" t="s">
        <v>596</v>
      </c>
      <c r="I326" t="s">
        <v>597</v>
      </c>
    </row>
    <row r="327" spans="1:10" x14ac:dyDescent="0.25">
      <c r="A327" t="s">
        <v>526</v>
      </c>
      <c r="B327" t="s">
        <v>254</v>
      </c>
      <c r="C327" s="8">
        <v>59404.5</v>
      </c>
      <c r="D327" s="8">
        <v>0.5</v>
      </c>
      <c r="F327" t="s">
        <v>614</v>
      </c>
      <c r="G327" t="s">
        <v>615</v>
      </c>
      <c r="H327" t="s">
        <v>596</v>
      </c>
      <c r="I327" t="s">
        <v>597</v>
      </c>
    </row>
    <row r="328" spans="1:10" x14ac:dyDescent="0.25">
      <c r="A328" t="s">
        <v>526</v>
      </c>
      <c r="B328" t="s">
        <v>239</v>
      </c>
      <c r="C328" s="8">
        <v>2409849.0789999999</v>
      </c>
      <c r="D328" s="8">
        <v>0.15</v>
      </c>
      <c r="E328" t="s">
        <v>545</v>
      </c>
      <c r="F328" t="s">
        <v>546</v>
      </c>
      <c r="G328" t="s">
        <v>543</v>
      </c>
      <c r="H328" t="s">
        <v>547</v>
      </c>
      <c r="I328" t="s">
        <v>548</v>
      </c>
      <c r="J328" t="s">
        <v>166</v>
      </c>
    </row>
    <row r="329" spans="1:10" x14ac:dyDescent="0.25">
      <c r="A329" t="s">
        <v>526</v>
      </c>
      <c r="B329" t="s">
        <v>71</v>
      </c>
      <c r="C329" s="8">
        <v>14200.253000000001</v>
      </c>
      <c r="D329" s="8">
        <v>0.15</v>
      </c>
      <c r="E329" t="s">
        <v>545</v>
      </c>
      <c r="F329" t="s">
        <v>546</v>
      </c>
      <c r="G329" t="s">
        <v>543</v>
      </c>
      <c r="H329" t="s">
        <v>547</v>
      </c>
      <c r="I329" t="s">
        <v>548</v>
      </c>
      <c r="J329" t="s">
        <v>166</v>
      </c>
    </row>
    <row r="330" spans="1:10" x14ac:dyDescent="0.25">
      <c r="A330" t="s">
        <v>526</v>
      </c>
      <c r="B330" t="s">
        <v>203</v>
      </c>
      <c r="C330" s="8">
        <v>17040.732</v>
      </c>
      <c r="D330" s="8">
        <v>0.15</v>
      </c>
      <c r="E330" t="s">
        <v>545</v>
      </c>
      <c r="F330" t="s">
        <v>546</v>
      </c>
      <c r="G330" t="s">
        <v>543</v>
      </c>
      <c r="H330" t="s">
        <v>547</v>
      </c>
      <c r="I330" t="s">
        <v>548</v>
      </c>
      <c r="J330" t="s">
        <v>166</v>
      </c>
    </row>
    <row r="331" spans="1:10" x14ac:dyDescent="0.25">
      <c r="A331" t="s">
        <v>508</v>
      </c>
      <c r="B331" t="s">
        <v>123</v>
      </c>
      <c r="C331" s="8">
        <v>58871.9375</v>
      </c>
      <c r="D331" s="8">
        <v>0.6</v>
      </c>
      <c r="E331" t="s">
        <v>630</v>
      </c>
      <c r="F331" t="s">
        <v>631</v>
      </c>
      <c r="G331" t="s">
        <v>552</v>
      </c>
      <c r="H331" t="s">
        <v>632</v>
      </c>
      <c r="I331" t="s">
        <v>632</v>
      </c>
    </row>
    <row r="332" spans="1:10" x14ac:dyDescent="0.25">
      <c r="A332" t="s">
        <v>510</v>
      </c>
      <c r="B332" t="s">
        <v>129</v>
      </c>
      <c r="C332" s="8">
        <v>59153.403100000003</v>
      </c>
      <c r="D332" s="8">
        <v>1</v>
      </c>
      <c r="E332" t="s">
        <v>630</v>
      </c>
      <c r="F332" t="s">
        <v>631</v>
      </c>
      <c r="G332" t="s">
        <v>552</v>
      </c>
      <c r="H332" t="s">
        <v>632</v>
      </c>
      <c r="I332" t="s">
        <v>632</v>
      </c>
    </row>
    <row r="333" spans="1:10" x14ac:dyDescent="0.25">
      <c r="A333" t="s">
        <v>512</v>
      </c>
      <c r="B333" t="s">
        <v>194</v>
      </c>
      <c r="C333" s="8">
        <v>58844.317499999997</v>
      </c>
      <c r="D333" s="8">
        <v>0.2</v>
      </c>
      <c r="E333" t="s">
        <v>630</v>
      </c>
      <c r="F333" t="s">
        <v>631</v>
      </c>
      <c r="G333" t="s">
        <v>552</v>
      </c>
      <c r="H333" t="s">
        <v>632</v>
      </c>
      <c r="I333" t="s">
        <v>632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0741-FDD1-4846-9817-C7179C3C3FB9}">
  <dimension ref="A1:D29"/>
  <sheetViews>
    <sheetView workbookViewId="0"/>
  </sheetViews>
  <sheetFormatPr baseColWidth="10" defaultColWidth="11.42578125" defaultRowHeight="15" x14ac:dyDescent="0.25"/>
  <sheetData>
    <row r="1" spans="1:4" x14ac:dyDescent="0.25">
      <c r="A1" t="s">
        <v>633</v>
      </c>
      <c r="B1">
        <v>42450.73</v>
      </c>
      <c r="C1" t="s">
        <v>634</v>
      </c>
      <c r="D1">
        <v>0.1</v>
      </c>
    </row>
    <row r="2" spans="1:4" x14ac:dyDescent="0.25">
      <c r="A2" t="s">
        <v>633</v>
      </c>
      <c r="B2">
        <v>42521.46</v>
      </c>
      <c r="C2" t="s">
        <v>635</v>
      </c>
      <c r="D2">
        <v>0.1</v>
      </c>
    </row>
    <row r="3" spans="1:4" x14ac:dyDescent="0.25">
      <c r="A3" t="s">
        <v>633</v>
      </c>
      <c r="B3">
        <v>42752.84</v>
      </c>
      <c r="C3" t="s">
        <v>636</v>
      </c>
      <c r="D3">
        <v>0.1</v>
      </c>
    </row>
    <row r="4" spans="1:4" x14ac:dyDescent="0.25">
      <c r="A4" t="s">
        <v>633</v>
      </c>
      <c r="B4">
        <v>42838.2</v>
      </c>
      <c r="C4" t="s">
        <v>637</v>
      </c>
      <c r="D4">
        <v>0.1</v>
      </c>
    </row>
    <row r="5" spans="1:4" x14ac:dyDescent="0.25">
      <c r="A5" t="s">
        <v>633</v>
      </c>
      <c r="B5">
        <v>42845.87</v>
      </c>
      <c r="C5" t="s">
        <v>638</v>
      </c>
      <c r="D5">
        <v>0.1</v>
      </c>
    </row>
    <row r="6" spans="1:4" x14ac:dyDescent="0.25">
      <c r="A6" t="s">
        <v>633</v>
      </c>
      <c r="B6">
        <v>43170.27</v>
      </c>
      <c r="C6" t="s">
        <v>639</v>
      </c>
      <c r="D6">
        <v>0.1</v>
      </c>
    </row>
    <row r="7" spans="1:4" x14ac:dyDescent="0.25">
      <c r="A7" t="s">
        <v>633</v>
      </c>
      <c r="B7">
        <v>43181.27</v>
      </c>
      <c r="C7" t="s">
        <v>640</v>
      </c>
      <c r="D7">
        <v>0.19</v>
      </c>
    </row>
    <row r="8" spans="1:4" x14ac:dyDescent="0.25">
      <c r="A8" t="s">
        <v>633</v>
      </c>
      <c r="B8">
        <v>43181.38</v>
      </c>
      <c r="C8" t="s">
        <v>641</v>
      </c>
      <c r="D8">
        <v>0.1</v>
      </c>
    </row>
    <row r="9" spans="1:4" x14ac:dyDescent="0.25">
      <c r="A9" t="s">
        <v>633</v>
      </c>
      <c r="B9">
        <v>43185.07</v>
      </c>
      <c r="C9" t="s">
        <v>642</v>
      </c>
      <c r="D9">
        <v>0.1</v>
      </c>
    </row>
    <row r="10" spans="1:4" x14ac:dyDescent="0.25">
      <c r="A10" t="s">
        <v>633</v>
      </c>
      <c r="B10">
        <v>43188.87</v>
      </c>
      <c r="C10" t="s">
        <v>643</v>
      </c>
      <c r="D10">
        <v>0.1</v>
      </c>
    </row>
    <row r="11" spans="1:4" x14ac:dyDescent="0.25">
      <c r="A11" t="s">
        <v>633</v>
      </c>
      <c r="B11">
        <v>43203.79</v>
      </c>
      <c r="C11" t="s">
        <v>636</v>
      </c>
      <c r="D11">
        <v>0.1</v>
      </c>
    </row>
    <row r="12" spans="1:4" x14ac:dyDescent="0.25">
      <c r="A12" t="s">
        <v>633</v>
      </c>
      <c r="B12">
        <v>43222.46</v>
      </c>
      <c r="C12" t="s">
        <v>644</v>
      </c>
      <c r="D12">
        <v>0.1</v>
      </c>
    </row>
    <row r="13" spans="1:4" x14ac:dyDescent="0.25">
      <c r="A13" t="s">
        <v>633</v>
      </c>
      <c r="B13">
        <v>43490.87</v>
      </c>
      <c r="C13" t="s">
        <v>638</v>
      </c>
      <c r="D13">
        <v>0.1</v>
      </c>
    </row>
    <row r="14" spans="1:4" x14ac:dyDescent="0.25">
      <c r="A14" t="s">
        <v>633</v>
      </c>
      <c r="B14">
        <v>43535.54</v>
      </c>
      <c r="C14" t="s">
        <v>636</v>
      </c>
      <c r="D14">
        <v>0.11</v>
      </c>
    </row>
    <row r="15" spans="1:4" x14ac:dyDescent="0.25">
      <c r="A15" t="s">
        <v>633</v>
      </c>
      <c r="B15">
        <v>43546.79</v>
      </c>
      <c r="C15" t="s">
        <v>642</v>
      </c>
      <c r="D15">
        <v>0.1</v>
      </c>
    </row>
    <row r="16" spans="1:4" x14ac:dyDescent="0.25">
      <c r="A16" t="s">
        <v>633</v>
      </c>
      <c r="B16">
        <v>43550.37</v>
      </c>
      <c r="C16" t="s">
        <v>645</v>
      </c>
      <c r="D16">
        <v>0.19</v>
      </c>
    </row>
    <row r="17" spans="1:4" x14ac:dyDescent="0.25">
      <c r="A17" t="s">
        <v>633</v>
      </c>
      <c r="B17">
        <v>43554.14</v>
      </c>
      <c r="C17" t="s">
        <v>646</v>
      </c>
      <c r="D17">
        <v>0.1</v>
      </c>
    </row>
    <row r="18" spans="1:4" x14ac:dyDescent="0.25">
      <c r="A18" t="s">
        <v>633</v>
      </c>
      <c r="B18">
        <v>43569.24</v>
      </c>
      <c r="C18" t="s">
        <v>647</v>
      </c>
      <c r="D18">
        <v>0.1</v>
      </c>
    </row>
    <row r="19" spans="1:4" x14ac:dyDescent="0.25">
      <c r="A19" t="s">
        <v>633</v>
      </c>
      <c r="B19">
        <v>43572.81</v>
      </c>
      <c r="C19" t="s">
        <v>648</v>
      </c>
      <c r="D19">
        <v>0.1</v>
      </c>
    </row>
    <row r="20" spans="1:4" x14ac:dyDescent="0.25">
      <c r="A20" t="s">
        <v>633</v>
      </c>
      <c r="B20">
        <v>44240.26</v>
      </c>
      <c r="C20" t="s">
        <v>649</v>
      </c>
      <c r="D20">
        <v>0.1</v>
      </c>
    </row>
    <row r="21" spans="1:4" x14ac:dyDescent="0.25">
      <c r="A21" t="s">
        <v>633</v>
      </c>
      <c r="B21">
        <v>44296.160000000003</v>
      </c>
      <c r="C21" t="s">
        <v>650</v>
      </c>
      <c r="D21">
        <v>0.1</v>
      </c>
    </row>
    <row r="22" spans="1:4" x14ac:dyDescent="0.25">
      <c r="A22" t="s">
        <v>633</v>
      </c>
      <c r="B22">
        <v>44430.43</v>
      </c>
      <c r="C22" t="s">
        <v>651</v>
      </c>
      <c r="D22">
        <v>0.1</v>
      </c>
    </row>
    <row r="23" spans="1:4" x14ac:dyDescent="0.25">
      <c r="A23" t="s">
        <v>633</v>
      </c>
      <c r="B23">
        <v>44639.27</v>
      </c>
      <c r="C23" t="s">
        <v>649</v>
      </c>
      <c r="D23">
        <v>0.1</v>
      </c>
    </row>
    <row r="24" spans="1:4" x14ac:dyDescent="0.25">
      <c r="A24" t="s">
        <v>633</v>
      </c>
      <c r="B24">
        <v>45004.6</v>
      </c>
      <c r="C24" t="s">
        <v>652</v>
      </c>
      <c r="D24">
        <v>0.1</v>
      </c>
    </row>
    <row r="25" spans="1:4" x14ac:dyDescent="0.25">
      <c r="A25" t="s">
        <v>653</v>
      </c>
      <c r="B25">
        <v>42450.7</v>
      </c>
      <c r="C25" t="s">
        <v>654</v>
      </c>
    </row>
    <row r="26" spans="1:4" x14ac:dyDescent="0.25">
      <c r="A26" t="s">
        <v>655</v>
      </c>
      <c r="B26">
        <v>42458.17</v>
      </c>
      <c r="C26" t="s">
        <v>656</v>
      </c>
      <c r="D26">
        <v>0.12</v>
      </c>
    </row>
    <row r="27" spans="1:4" x14ac:dyDescent="0.25">
      <c r="A27" t="s">
        <v>655</v>
      </c>
      <c r="B27">
        <v>42532.65</v>
      </c>
      <c r="C27" t="s">
        <v>657</v>
      </c>
      <c r="D27">
        <v>0.06</v>
      </c>
    </row>
    <row r="28" spans="1:4" x14ac:dyDescent="0.25">
      <c r="A28" t="s">
        <v>655</v>
      </c>
      <c r="B28">
        <v>42856.9</v>
      </c>
      <c r="C28" t="s">
        <v>643</v>
      </c>
      <c r="D28">
        <v>0.15</v>
      </c>
    </row>
    <row r="29" spans="1:4" x14ac:dyDescent="0.25">
      <c r="A29" t="s">
        <v>655</v>
      </c>
      <c r="B29">
        <v>42864.51</v>
      </c>
      <c r="C29" t="s">
        <v>658</v>
      </c>
      <c r="D2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ToM GEOS au fil de l'eau</vt:lpstr>
      <vt:lpstr>GEOS ETOILES</vt:lpstr>
      <vt:lpstr>Biblio GEOS CEP</vt:lpstr>
      <vt:lpstr>SELECTION GEOS CEP DB</vt:lpstr>
      <vt:lpstr>ToM AUTRES</vt:lpstr>
      <vt:lpstr>NC 338 1982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BOISTEL</dc:creator>
  <cp:keywords/>
  <dc:description/>
  <cp:lastModifiedBy>Guy BOISTEL</cp:lastModifiedBy>
  <cp:revision/>
  <dcterms:created xsi:type="dcterms:W3CDTF">2023-01-15T14:56:10Z</dcterms:created>
  <dcterms:modified xsi:type="dcterms:W3CDTF">2025-05-04T18:40:19Z</dcterms:modified>
  <cp:category/>
  <cp:contentStatus/>
</cp:coreProperties>
</file>