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249" documentId="8_{7566C3B5-7918-4E43-8220-0F0AA53B7100}" xr6:coauthVersionLast="45" xr6:coauthVersionMax="45" xr10:uidLastSave="{D2B5C46A-EDB5-44A6-99B1-8C4C58528F85}"/>
  <bookViews>
    <workbookView xWindow="-120" yWindow="-120" windowWidth="29040" windowHeight="15840" activeTab="2" xr2:uid="{00000000-000D-0000-FFFF-FFFF00000000}"/>
  </bookViews>
  <sheets>
    <sheet name="core_data" sheetId="2" r:id="rId1"/>
    <sheet name="strength v temp" sheetId="7" r:id="rId2"/>
    <sheet name="test_data_ottawa" sheetId="1" r:id="rId3"/>
    <sheet name="mass" sheetId="5" r:id="rId4"/>
    <sheet name="test_data_prelim" sheetId="9" r:id="rId5"/>
    <sheet name="notes" sheetId="3" r:id="rId6"/>
    <sheet name="cooling calculations" sheetId="4" r:id="rId7"/>
    <sheet name="thermalConductivit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54" i="1"/>
  <c r="G53" i="1"/>
  <c r="G52" i="1"/>
  <c r="G51" i="1"/>
  <c r="G50" i="1"/>
  <c r="G49" i="1"/>
  <c r="G48" i="1"/>
  <c r="G47" i="1"/>
  <c r="G61" i="1"/>
  <c r="G60" i="1"/>
  <c r="G59" i="1"/>
  <c r="G58" i="1"/>
  <c r="G57" i="1"/>
  <c r="G56" i="1"/>
  <c r="G55" i="1"/>
  <c r="G32" i="1"/>
  <c r="G31" i="1"/>
  <c r="G30" i="1"/>
  <c r="G29" i="1"/>
  <c r="G28" i="1"/>
  <c r="G27" i="1"/>
  <c r="G26" i="1"/>
  <c r="G25" i="1"/>
  <c r="G24" i="1"/>
  <c r="F91" i="1"/>
  <c r="F90" i="1"/>
  <c r="F89" i="1"/>
  <c r="F88" i="1"/>
  <c r="F87" i="1"/>
  <c r="F86" i="1"/>
  <c r="F85" i="1"/>
  <c r="F84" i="1"/>
  <c r="F76" i="1"/>
  <c r="F75" i="1"/>
  <c r="F74" i="1"/>
  <c r="F73" i="1"/>
  <c r="F72" i="1"/>
  <c r="F71" i="1"/>
  <c r="F70" i="1"/>
  <c r="F69" i="1"/>
  <c r="F61" i="1"/>
  <c r="F31" i="1"/>
  <c r="F60" i="1"/>
  <c r="F59" i="1"/>
  <c r="F58" i="1"/>
  <c r="F57" i="1"/>
  <c r="F56" i="1"/>
  <c r="F55" i="1"/>
  <c r="F54" i="1"/>
  <c r="F30" i="1"/>
  <c r="F29" i="1"/>
  <c r="F28" i="1"/>
  <c r="F27" i="1"/>
  <c r="F26" i="1"/>
  <c r="F25" i="1"/>
  <c r="F24" i="1"/>
  <c r="F97" i="1"/>
  <c r="F98" i="1"/>
  <c r="F96" i="1"/>
  <c r="F95" i="1"/>
  <c r="F94" i="1"/>
  <c r="F93" i="1"/>
  <c r="F92" i="1"/>
  <c r="F83" i="1"/>
  <c r="F82" i="1"/>
  <c r="F81" i="1"/>
  <c r="F80" i="1"/>
  <c r="F79" i="1"/>
  <c r="F78" i="1"/>
  <c r="F77" i="1"/>
  <c r="F68" i="1"/>
  <c r="F67" i="1"/>
  <c r="F66" i="1"/>
  <c r="F65" i="1"/>
  <c r="F64" i="1"/>
  <c r="F63" i="1"/>
  <c r="F62" i="1"/>
  <c r="F53" i="1"/>
  <c r="F52" i="1"/>
  <c r="F51" i="1"/>
  <c r="F50" i="1"/>
  <c r="F49" i="1"/>
  <c r="F48" i="1"/>
  <c r="F47" i="1"/>
  <c r="F45" i="1"/>
  <c r="G45" i="1"/>
  <c r="F46" i="1"/>
  <c r="G46" i="1"/>
  <c r="G44" i="1"/>
  <c r="F44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G35" i="1"/>
  <c r="F35" i="1"/>
  <c r="L35" i="1"/>
  <c r="L36" i="1"/>
  <c r="F32" i="1"/>
  <c r="F33" i="1"/>
  <c r="G33" i="1"/>
  <c r="F34" i="1"/>
  <c r="G34" i="1"/>
  <c r="F21" i="1"/>
  <c r="G21" i="1"/>
  <c r="F22" i="1"/>
  <c r="G22" i="1"/>
  <c r="F23" i="1"/>
  <c r="G23" i="1"/>
  <c r="G20" i="1"/>
  <c r="F20" i="1"/>
  <c r="G5" i="1"/>
  <c r="F5" i="1"/>
  <c r="F15" i="1"/>
  <c r="G15" i="1"/>
  <c r="F16" i="1"/>
  <c r="G16" i="1"/>
  <c r="F17" i="1"/>
  <c r="G17" i="1"/>
  <c r="F18" i="1"/>
  <c r="G18" i="1"/>
  <c r="F19" i="1"/>
  <c r="G19" i="1"/>
  <c r="G14" i="1"/>
  <c r="F1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4" i="1"/>
  <c r="F4" i="1"/>
  <c r="G3" i="1"/>
  <c r="F3" i="1"/>
  <c r="G2" i="1"/>
  <c r="F2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5" i="1"/>
  <c r="D6" i="1"/>
  <c r="D7" i="1"/>
  <c r="D8" i="1"/>
  <c r="D4" i="1"/>
  <c r="D3" i="1"/>
  <c r="D2" i="1"/>
  <c r="C2" i="3" l="1"/>
  <c r="C3" i="3" l="1"/>
  <c r="V88" i="1" l="1"/>
  <c r="V89" i="1"/>
  <c r="V92" i="1"/>
  <c r="V93" i="1"/>
  <c r="V94" i="1"/>
  <c r="V96" i="1"/>
  <c r="V62" i="1"/>
  <c r="V67" i="1"/>
  <c r="V78" i="1"/>
  <c r="V84" i="1"/>
  <c r="V87" i="1"/>
  <c r="V42" i="1"/>
  <c r="V55" i="1"/>
  <c r="V57" i="1"/>
  <c r="V60" i="1"/>
  <c r="V31" i="1"/>
  <c r="V32" i="1"/>
  <c r="V33" i="1"/>
  <c r="V34" i="1"/>
  <c r="V35" i="1"/>
  <c r="V36" i="1"/>
  <c r="V37" i="1"/>
  <c r="V38" i="1"/>
  <c r="V28" i="1"/>
  <c r="H35" i="5" l="1"/>
  <c r="G35" i="5"/>
  <c r="C34" i="5"/>
  <c r="F35" i="5"/>
  <c r="E35" i="5"/>
  <c r="D35" i="5"/>
  <c r="C35" i="5"/>
  <c r="B35" i="5"/>
  <c r="N91" i="1" l="1"/>
  <c r="M29" i="5"/>
  <c r="O29" i="5"/>
  <c r="N29" i="5"/>
  <c r="L29" i="5"/>
  <c r="K29" i="5"/>
  <c r="J29" i="5"/>
  <c r="I29" i="5"/>
  <c r="H29" i="5"/>
  <c r="N95" i="1" s="1"/>
  <c r="G29" i="5"/>
  <c r="F29" i="5"/>
  <c r="N85" i="1"/>
  <c r="E29" i="5"/>
  <c r="N86" i="1" s="1"/>
  <c r="N83" i="1" l="1"/>
  <c r="N82" i="1"/>
  <c r="N81" i="1"/>
  <c r="N80" i="1"/>
  <c r="K11" i="9" l="1"/>
  <c r="M11" i="9" s="1"/>
  <c r="J10" i="9"/>
  <c r="G10" i="9"/>
  <c r="J8" i="9"/>
  <c r="I8" i="9"/>
  <c r="M4" i="9"/>
  <c r="L4" i="9"/>
  <c r="B4" i="9"/>
  <c r="N76" i="1"/>
  <c r="N75" i="1"/>
  <c r="N74" i="1"/>
  <c r="N73" i="1"/>
  <c r="N72" i="1"/>
  <c r="N71" i="1"/>
  <c r="N70" i="1"/>
  <c r="N69" i="1"/>
  <c r="K8" i="9" l="1"/>
  <c r="M8" i="9" s="1"/>
  <c r="L11" i="9"/>
  <c r="B3" i="8"/>
  <c r="B2" i="8"/>
  <c r="L8" i="9" l="1"/>
  <c r="B4" i="8"/>
  <c r="N68" i="1"/>
  <c r="N65" i="1"/>
  <c r="N63" i="1"/>
  <c r="N61" i="1" l="1"/>
  <c r="N56" i="1"/>
  <c r="N53" i="1" l="1"/>
  <c r="M23" i="5"/>
  <c r="N48" i="1"/>
  <c r="N47" i="1"/>
  <c r="N46" i="1" l="1"/>
  <c r="N45" i="1"/>
  <c r="N44" i="1"/>
  <c r="N43" i="1"/>
  <c r="N41" i="1"/>
  <c r="N40" i="1"/>
  <c r="N39" i="1"/>
  <c r="Q28" i="1" l="1"/>
  <c r="N30" i="1"/>
  <c r="N29" i="1"/>
  <c r="N27" i="1" l="1"/>
  <c r="Q24" i="1"/>
  <c r="N23" i="1" l="1"/>
  <c r="Q21" i="1"/>
  <c r="N22" i="1"/>
  <c r="N20" i="1"/>
  <c r="Q19" i="1"/>
  <c r="Q17" i="1"/>
  <c r="Q18" i="1"/>
  <c r="O22" i="5"/>
  <c r="O23" i="5" s="1"/>
  <c r="N22" i="5"/>
  <c r="N23" i="5" s="1"/>
  <c r="L23" i="5"/>
  <c r="B23" i="5"/>
  <c r="C23" i="5"/>
  <c r="D23" i="5"/>
  <c r="E23" i="5"/>
  <c r="G23" i="5"/>
  <c r="H23" i="5"/>
  <c r="N64" i="1" s="1"/>
  <c r="I23" i="5"/>
  <c r="J23" i="5"/>
  <c r="N90" i="1" s="1"/>
  <c r="K23" i="5"/>
  <c r="F23" i="5"/>
  <c r="P22" i="5" l="1"/>
  <c r="N98" i="1"/>
  <c r="N97" i="1"/>
  <c r="N66" i="1"/>
  <c r="N54" i="1"/>
  <c r="N51" i="1"/>
  <c r="P23" i="5"/>
  <c r="N11" i="5"/>
  <c r="N12" i="5" s="1"/>
  <c r="J11" i="5"/>
  <c r="J12" i="5" s="1"/>
  <c r="I11" i="5"/>
  <c r="I12" i="5" s="1"/>
  <c r="H11" i="5"/>
  <c r="H12" i="5" s="1"/>
  <c r="G11" i="5"/>
  <c r="G12" i="5" s="1"/>
  <c r="F11" i="5"/>
  <c r="F12" i="5" s="1"/>
  <c r="E11" i="5"/>
  <c r="E12" i="5" s="1"/>
  <c r="D11" i="5"/>
  <c r="D12" i="5" s="1"/>
  <c r="C11" i="5"/>
  <c r="C12" i="5" s="1"/>
  <c r="B11" i="5"/>
  <c r="B12" i="5" s="1"/>
  <c r="K12" i="5"/>
  <c r="O12" i="5"/>
  <c r="N18" i="5"/>
  <c r="C17" i="5"/>
  <c r="N16" i="1"/>
  <c r="F17" i="5"/>
  <c r="B17" i="5"/>
  <c r="D17" i="5"/>
  <c r="E17" i="5"/>
  <c r="N15" i="1"/>
  <c r="P11" i="5" l="1"/>
  <c r="P12" i="5" s="1"/>
  <c r="N14" i="1" l="1"/>
  <c r="N13" i="1"/>
  <c r="J17" i="5"/>
  <c r="I17" i="5"/>
  <c r="H17" i="5"/>
  <c r="G17" i="5"/>
  <c r="N12" i="1"/>
  <c r="N10" i="1"/>
  <c r="N9" i="1"/>
  <c r="P17" i="5" l="1"/>
  <c r="P18" i="5" l="1"/>
  <c r="P7" i="5"/>
  <c r="B18" i="5"/>
  <c r="C18" i="5"/>
  <c r="D18" i="5"/>
  <c r="E18" i="5"/>
  <c r="F18" i="5"/>
  <c r="G18" i="5"/>
  <c r="H18" i="5"/>
  <c r="M50" i="1" s="1"/>
  <c r="I18" i="5"/>
  <c r="J18" i="5"/>
  <c r="K18" i="5"/>
  <c r="O18" i="5"/>
  <c r="N7" i="1"/>
  <c r="N49" i="1" l="1"/>
  <c r="M30" i="1"/>
  <c r="O30" i="1" s="1"/>
  <c r="M29" i="1"/>
  <c r="O29" i="1" s="1"/>
  <c r="N50" i="1"/>
  <c r="O50" i="1" s="1"/>
  <c r="P50" i="1" s="1"/>
  <c r="M83" i="1"/>
  <c r="O83" i="1" s="1"/>
  <c r="M82" i="1"/>
  <c r="O82" i="1" s="1"/>
  <c r="M80" i="1"/>
  <c r="O80" i="1" s="1"/>
  <c r="M81" i="1"/>
  <c r="O81" i="1" s="1"/>
  <c r="M79" i="1"/>
  <c r="O79" i="1" s="1"/>
  <c r="M78" i="1"/>
  <c r="M77" i="1"/>
  <c r="O77" i="1" s="1"/>
  <c r="M68" i="1"/>
  <c r="O68" i="1" s="1"/>
  <c r="M62" i="1"/>
  <c r="M67" i="1"/>
  <c r="M39" i="1"/>
  <c r="O39" i="1" s="1"/>
  <c r="M27" i="1"/>
  <c r="O27" i="1" s="1"/>
  <c r="M71" i="1"/>
  <c r="O71" i="1" s="1"/>
  <c r="M72" i="1"/>
  <c r="O72" i="1" s="1"/>
  <c r="M63" i="1"/>
  <c r="O63" i="1" s="1"/>
  <c r="M47" i="1"/>
  <c r="O47" i="1" s="1"/>
  <c r="M48" i="1"/>
  <c r="O48" i="1" s="1"/>
  <c r="M76" i="1"/>
  <c r="O76" i="1" s="1"/>
  <c r="M70" i="1"/>
  <c r="O70" i="1" s="1"/>
  <c r="M49" i="1"/>
  <c r="M69" i="1"/>
  <c r="O69" i="1" s="1"/>
  <c r="M75" i="1"/>
  <c r="O75" i="1" s="1"/>
  <c r="M65" i="1"/>
  <c r="O65" i="1" s="1"/>
  <c r="M66" i="1"/>
  <c r="O66" i="1" s="1"/>
  <c r="M64" i="1"/>
  <c r="O64" i="1" s="1"/>
  <c r="M74" i="1"/>
  <c r="O74" i="1" s="1"/>
  <c r="M73" i="1"/>
  <c r="O73" i="1" s="1"/>
  <c r="M96" i="1"/>
  <c r="M97" i="1"/>
  <c r="O97" i="1" s="1"/>
  <c r="M86" i="1"/>
  <c r="O86" i="1" s="1"/>
  <c r="M98" i="1"/>
  <c r="O98" i="1" s="1"/>
  <c r="M84" i="1"/>
  <c r="M85" i="1"/>
  <c r="O85" i="1" s="1"/>
  <c r="M93" i="1"/>
  <c r="M94" i="1"/>
  <c r="M91" i="1"/>
  <c r="O91" i="1" s="1"/>
  <c r="M88" i="1"/>
  <c r="M89" i="1"/>
  <c r="M95" i="1"/>
  <c r="O95" i="1" s="1"/>
  <c r="M92" i="1"/>
  <c r="M87" i="1"/>
  <c r="M90" i="1"/>
  <c r="O90" i="1" s="1"/>
  <c r="M60" i="1"/>
  <c r="M56" i="1"/>
  <c r="O56" i="1" s="1"/>
  <c r="M58" i="1"/>
  <c r="O58" i="1" s="1"/>
  <c r="M61" i="1"/>
  <c r="O61" i="1" s="1"/>
  <c r="M59" i="1"/>
  <c r="O59" i="1" s="1"/>
  <c r="M57" i="1"/>
  <c r="M54" i="1"/>
  <c r="O54" i="1" s="1"/>
  <c r="M53" i="1"/>
  <c r="O53" i="1" s="1"/>
  <c r="P53" i="1" s="1"/>
  <c r="M46" i="1"/>
  <c r="O46" i="1" s="1"/>
  <c r="M44" i="1"/>
  <c r="O44" i="1" s="1"/>
  <c r="M41" i="1"/>
  <c r="O41" i="1" s="1"/>
  <c r="M43" i="1"/>
  <c r="O43" i="1" s="1"/>
  <c r="M52" i="1"/>
  <c r="O52" i="1" s="1"/>
  <c r="P52" i="1" s="1"/>
  <c r="M45" i="1"/>
  <c r="O45" i="1" s="1"/>
  <c r="M40" i="1"/>
  <c r="O40" i="1" s="1"/>
  <c r="M51" i="1"/>
  <c r="O51" i="1" s="1"/>
  <c r="P51" i="1" s="1"/>
  <c r="M55" i="1"/>
  <c r="N26" i="1"/>
  <c r="N24" i="1"/>
  <c r="P24" i="1" s="1"/>
  <c r="M26" i="1"/>
  <c r="M23" i="1"/>
  <c r="O23" i="1" s="1"/>
  <c r="M20" i="1"/>
  <c r="O20" i="1" s="1"/>
  <c r="P20" i="1" s="1"/>
  <c r="M22" i="1"/>
  <c r="O22" i="1" s="1"/>
  <c r="M12" i="1"/>
  <c r="O12" i="1" s="1"/>
  <c r="M7" i="1"/>
  <c r="M13" i="1"/>
  <c r="M9" i="1"/>
  <c r="M15" i="1"/>
  <c r="M10" i="1"/>
  <c r="M8" i="1"/>
  <c r="M14" i="1"/>
  <c r="M16" i="1"/>
  <c r="N4" i="1"/>
  <c r="P4" i="1" s="1"/>
  <c r="P8" i="5"/>
  <c r="O8" i="5"/>
  <c r="M8" i="5"/>
  <c r="L8" i="5"/>
  <c r="K8" i="5"/>
  <c r="J8" i="5"/>
  <c r="I8" i="5"/>
  <c r="H8" i="5"/>
  <c r="G8" i="5"/>
  <c r="F8" i="5"/>
  <c r="E8" i="5"/>
  <c r="D8" i="5"/>
  <c r="C8" i="5"/>
  <c r="B8" i="5"/>
  <c r="Q4" i="1"/>
  <c r="N3" i="1"/>
  <c r="O6" i="5"/>
  <c r="M6" i="5"/>
  <c r="L6" i="5"/>
  <c r="K6" i="5"/>
  <c r="D6" i="5"/>
  <c r="J5" i="5"/>
  <c r="J6" i="5" s="1"/>
  <c r="I5" i="5"/>
  <c r="I6" i="5" s="1"/>
  <c r="H5" i="5"/>
  <c r="H6" i="5" s="1"/>
  <c r="G5" i="5"/>
  <c r="G6" i="5" s="1"/>
  <c r="F5" i="5"/>
  <c r="F6" i="5" s="1"/>
  <c r="E5" i="5"/>
  <c r="E6" i="5" s="1"/>
  <c r="D5" i="5"/>
  <c r="C5" i="5"/>
  <c r="C6" i="5" s="1"/>
  <c r="B5" i="5"/>
  <c r="O49" i="1" l="1"/>
  <c r="P49" i="1" s="1"/>
  <c r="Q59" i="1"/>
  <c r="P59" i="1"/>
  <c r="Q98" i="1"/>
  <c r="P98" i="1"/>
  <c r="Q63" i="1"/>
  <c r="P63" i="1"/>
  <c r="Q39" i="1"/>
  <c r="P39" i="1"/>
  <c r="P77" i="1"/>
  <c r="Q77" i="1"/>
  <c r="Q80" i="1"/>
  <c r="P80" i="1"/>
  <c r="Q29" i="1"/>
  <c r="P29" i="1"/>
  <c r="I9" i="9"/>
  <c r="K9" i="9" s="1"/>
  <c r="I10" i="9"/>
  <c r="K10" i="9" s="1"/>
  <c r="P70" i="1"/>
  <c r="Q70" i="1"/>
  <c r="P43" i="1"/>
  <c r="Q43" i="1"/>
  <c r="Q61" i="1"/>
  <c r="P61" i="1"/>
  <c r="Q90" i="1"/>
  <c r="P90" i="1"/>
  <c r="Q86" i="1"/>
  <c r="P86" i="1"/>
  <c r="Q74" i="1"/>
  <c r="P74" i="1"/>
  <c r="Q75" i="1"/>
  <c r="P75" i="1"/>
  <c r="P76" i="1"/>
  <c r="Q76" i="1"/>
  <c r="Q72" i="1"/>
  <c r="P72" i="1"/>
  <c r="P82" i="1"/>
  <c r="Q82" i="1"/>
  <c r="Q30" i="1"/>
  <c r="P30" i="1"/>
  <c r="Q46" i="1"/>
  <c r="P46" i="1"/>
  <c r="Q65" i="1"/>
  <c r="P65" i="1"/>
  <c r="P40" i="1"/>
  <c r="Q40" i="1"/>
  <c r="Q41" i="1"/>
  <c r="P41" i="1"/>
  <c r="P54" i="1"/>
  <c r="Q54" i="1"/>
  <c r="Q58" i="1"/>
  <c r="P58" i="1"/>
  <c r="Q85" i="1"/>
  <c r="P85" i="1"/>
  <c r="Q97" i="1"/>
  <c r="P97" i="1"/>
  <c r="Q64" i="1"/>
  <c r="P64" i="1"/>
  <c r="Q69" i="1"/>
  <c r="P69" i="1"/>
  <c r="Q48" i="1"/>
  <c r="P48" i="1"/>
  <c r="Q71" i="1"/>
  <c r="P71" i="1"/>
  <c r="P79" i="1"/>
  <c r="Q79" i="1"/>
  <c r="Q83" i="1"/>
  <c r="P83" i="1"/>
  <c r="Q95" i="1"/>
  <c r="P95" i="1"/>
  <c r="Q73" i="1"/>
  <c r="P73" i="1"/>
  <c r="Q45" i="1"/>
  <c r="P45" i="1"/>
  <c r="P44" i="1"/>
  <c r="Q44" i="1"/>
  <c r="Q56" i="1"/>
  <c r="P56" i="1"/>
  <c r="Q91" i="1"/>
  <c r="P91" i="1"/>
  <c r="Q66" i="1"/>
  <c r="P66" i="1"/>
  <c r="Q47" i="1"/>
  <c r="P47" i="1"/>
  <c r="Q27" i="1"/>
  <c r="P27" i="1"/>
  <c r="Q68" i="1"/>
  <c r="P68" i="1"/>
  <c r="Q81" i="1"/>
  <c r="P81" i="1"/>
  <c r="Q12" i="1"/>
  <c r="P12" i="1"/>
  <c r="Q22" i="1"/>
  <c r="P22" i="1"/>
  <c r="Q23" i="1"/>
  <c r="P23" i="1"/>
  <c r="O26" i="1"/>
  <c r="Q26" i="1" s="1"/>
  <c r="B6" i="5"/>
  <c r="M3" i="1" s="1"/>
  <c r="P5" i="5"/>
  <c r="P6" i="5" s="1"/>
  <c r="X7" i="2"/>
  <c r="W7" i="2"/>
  <c r="T7" i="2"/>
  <c r="S7" i="2"/>
  <c r="X6" i="2"/>
  <c r="V6" i="2"/>
  <c r="U6" i="2"/>
  <c r="S6" i="2"/>
  <c r="V5" i="2"/>
  <c r="W5" i="2"/>
  <c r="U5" i="2"/>
  <c r="T5" i="2"/>
  <c r="N35" i="2"/>
  <c r="F35" i="2"/>
  <c r="A35" i="2"/>
  <c r="T21" i="2"/>
  <c r="T23" i="2"/>
  <c r="T25" i="2"/>
  <c r="R34" i="2"/>
  <c r="R33" i="2"/>
  <c r="R32" i="2"/>
  <c r="R31" i="2"/>
  <c r="R30" i="2"/>
  <c r="R29" i="2"/>
  <c r="R28" i="2"/>
  <c r="R27" i="2"/>
  <c r="R26" i="2"/>
  <c r="R25" i="2"/>
  <c r="R24" i="2"/>
  <c r="T24" i="2" s="1"/>
  <c r="R23" i="2"/>
  <c r="R22" i="2"/>
  <c r="R21" i="2"/>
  <c r="R20" i="2"/>
  <c r="T20" i="2" s="1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T22" i="2" s="1"/>
  <c r="J21" i="2"/>
  <c r="J20" i="2"/>
  <c r="F22" i="2"/>
  <c r="S22" i="2" s="1"/>
  <c r="F23" i="2"/>
  <c r="S23" i="2" s="1"/>
  <c r="F24" i="2"/>
  <c r="F25" i="2"/>
  <c r="S25" i="2" s="1"/>
  <c r="F26" i="2"/>
  <c r="S26" i="2" s="1"/>
  <c r="F27" i="2"/>
  <c r="F28" i="2"/>
  <c r="F29" i="2"/>
  <c r="F30" i="2"/>
  <c r="F31" i="2"/>
  <c r="F32" i="2"/>
  <c r="F33" i="2"/>
  <c r="F34" i="2"/>
  <c r="S34" i="2" s="1"/>
  <c r="F21" i="2"/>
  <c r="S21" i="2" s="1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0" i="2"/>
  <c r="F20" i="2"/>
  <c r="S20" i="2" s="1"/>
  <c r="L95" i="1" l="1"/>
  <c r="R95" i="1" s="1"/>
  <c r="V95" i="1" s="1"/>
  <c r="L65" i="1"/>
  <c r="R65" i="1" s="1"/>
  <c r="V65" i="1" s="1"/>
  <c r="L80" i="1"/>
  <c r="R80" i="1" s="1"/>
  <c r="V80" i="1" s="1"/>
  <c r="L50" i="1"/>
  <c r="L38" i="1"/>
  <c r="L23" i="1"/>
  <c r="L8" i="1"/>
  <c r="L91" i="1"/>
  <c r="R91" i="1" s="1"/>
  <c r="V91" i="1" s="1"/>
  <c r="L76" i="1"/>
  <c r="R76" i="1" s="1"/>
  <c r="V76" i="1" s="1"/>
  <c r="L61" i="1"/>
  <c r="R61" i="1" s="1"/>
  <c r="V61" i="1" s="1"/>
  <c r="L46" i="1"/>
  <c r="R46" i="1" s="1"/>
  <c r="V46" i="1" s="1"/>
  <c r="L31" i="1"/>
  <c r="L16" i="1"/>
  <c r="L93" i="1"/>
  <c r="L78" i="1"/>
  <c r="L63" i="1"/>
  <c r="R63" i="1" s="1"/>
  <c r="V63" i="1" s="1"/>
  <c r="L48" i="1"/>
  <c r="L21" i="1"/>
  <c r="R22" i="1" s="1"/>
  <c r="L6" i="1"/>
  <c r="L85" i="1"/>
  <c r="L70" i="1"/>
  <c r="R70" i="1" s="1"/>
  <c r="V70" i="1" s="1"/>
  <c r="L55" i="1"/>
  <c r="L40" i="1"/>
  <c r="R40" i="1" s="1"/>
  <c r="V40" i="1" s="1"/>
  <c r="L25" i="1"/>
  <c r="L10" i="1"/>
  <c r="L89" i="1"/>
  <c r="L74" i="1"/>
  <c r="R74" i="1" s="1"/>
  <c r="V74" i="1" s="1"/>
  <c r="L59" i="1"/>
  <c r="L44" i="1"/>
  <c r="R44" i="1" s="1"/>
  <c r="V44" i="1" s="1"/>
  <c r="L29" i="1"/>
  <c r="R29" i="1" s="1"/>
  <c r="V29" i="1" s="1"/>
  <c r="L14" i="1"/>
  <c r="L3" i="1"/>
  <c r="L98" i="1"/>
  <c r="L82" i="1"/>
  <c r="R82" i="1" s="1"/>
  <c r="V82" i="1" s="1"/>
  <c r="L67" i="1"/>
  <c r="L52" i="1"/>
  <c r="L33" i="1"/>
  <c r="L18" i="1"/>
  <c r="M10" i="9"/>
  <c r="L10" i="9"/>
  <c r="S32" i="2"/>
  <c r="L94" i="1"/>
  <c r="L79" i="1"/>
  <c r="R79" i="1" s="1"/>
  <c r="V79" i="1" s="1"/>
  <c r="L64" i="1"/>
  <c r="R64" i="1" s="1"/>
  <c r="V64" i="1" s="1"/>
  <c r="L49" i="1"/>
  <c r="L37" i="1"/>
  <c r="L22" i="1"/>
  <c r="R23" i="1" s="1"/>
  <c r="L7" i="1"/>
  <c r="L86" i="1"/>
  <c r="L71" i="1"/>
  <c r="R71" i="1" s="1"/>
  <c r="V71" i="1" s="1"/>
  <c r="L56" i="1"/>
  <c r="R56" i="1" s="1"/>
  <c r="V56" i="1" s="1"/>
  <c r="L41" i="1"/>
  <c r="R41" i="1" s="1"/>
  <c r="V41" i="1" s="1"/>
  <c r="L26" i="1"/>
  <c r="R26" i="1" s="1"/>
  <c r="L11" i="1"/>
  <c r="L90" i="1"/>
  <c r="R90" i="1" s="1"/>
  <c r="V90" i="1" s="1"/>
  <c r="L75" i="1"/>
  <c r="R75" i="1" s="1"/>
  <c r="V75" i="1" s="1"/>
  <c r="L60" i="1"/>
  <c r="L45" i="1"/>
  <c r="R45" i="1" s="1"/>
  <c r="V45" i="1" s="1"/>
  <c r="L30" i="1"/>
  <c r="R30" i="1" s="1"/>
  <c r="V30" i="1" s="1"/>
  <c r="L15" i="1"/>
  <c r="L97" i="1"/>
  <c r="L83" i="1"/>
  <c r="R83" i="1" s="1"/>
  <c r="V83" i="1" s="1"/>
  <c r="L68" i="1"/>
  <c r="R68" i="1" s="1"/>
  <c r="V68" i="1" s="1"/>
  <c r="L53" i="1"/>
  <c r="L34" i="1"/>
  <c r="L19" i="1"/>
  <c r="L2" i="1"/>
  <c r="M2" i="1"/>
  <c r="R48" i="1"/>
  <c r="V48" i="1" s="1"/>
  <c r="R85" i="1"/>
  <c r="V85" i="1" s="1"/>
  <c r="M9" i="9"/>
  <c r="L9" i="9"/>
  <c r="R98" i="1"/>
  <c r="V98" i="1" s="1"/>
  <c r="L87" i="1"/>
  <c r="L72" i="1"/>
  <c r="R72" i="1" s="1"/>
  <c r="V72" i="1" s="1"/>
  <c r="L57" i="1"/>
  <c r="L42" i="1"/>
  <c r="L27" i="1"/>
  <c r="R27" i="1" s="1"/>
  <c r="L12" i="1"/>
  <c r="L92" i="1"/>
  <c r="L77" i="1"/>
  <c r="R77" i="1" s="1"/>
  <c r="V77" i="1" s="1"/>
  <c r="L62" i="1"/>
  <c r="L47" i="1"/>
  <c r="R47" i="1" s="1"/>
  <c r="V47" i="1" s="1"/>
  <c r="L20" i="1"/>
  <c r="L5" i="1"/>
  <c r="L4" i="1"/>
  <c r="R4" i="1" s="1"/>
  <c r="L84" i="1"/>
  <c r="L69" i="1"/>
  <c r="R69" i="1" s="1"/>
  <c r="V69" i="1" s="1"/>
  <c r="L54" i="1"/>
  <c r="R54" i="1" s="1"/>
  <c r="V54" i="1" s="1"/>
  <c r="L39" i="1"/>
  <c r="L24" i="1"/>
  <c r="L9" i="1"/>
  <c r="L88" i="1"/>
  <c r="L73" i="1"/>
  <c r="R73" i="1" s="1"/>
  <c r="V73" i="1" s="1"/>
  <c r="L58" i="1"/>
  <c r="R58" i="1" s="1"/>
  <c r="V58" i="1" s="1"/>
  <c r="L43" i="1"/>
  <c r="R43" i="1" s="1"/>
  <c r="V43" i="1" s="1"/>
  <c r="L28" i="1"/>
  <c r="L13" i="1"/>
  <c r="L96" i="1"/>
  <c r="L81" i="1"/>
  <c r="R81" i="1" s="1"/>
  <c r="V81" i="1" s="1"/>
  <c r="L66" i="1"/>
  <c r="R66" i="1" s="1"/>
  <c r="V66" i="1" s="1"/>
  <c r="L51" i="1"/>
  <c r="L32" i="1"/>
  <c r="L17" i="1"/>
  <c r="S24" i="2"/>
  <c r="R12" i="1"/>
  <c r="R97" i="1"/>
  <c r="V97" i="1" s="1"/>
  <c r="R86" i="1"/>
  <c r="V86" i="1" s="1"/>
  <c r="R59" i="1"/>
  <c r="V59" i="1" s="1"/>
  <c r="P26" i="1"/>
  <c r="M4" i="1"/>
  <c r="S35" i="2"/>
  <c r="T34" i="2"/>
  <c r="T33" i="2"/>
  <c r="S33" i="2"/>
  <c r="T32" i="2"/>
  <c r="T31" i="2"/>
  <c r="S31" i="2"/>
  <c r="T30" i="2"/>
  <c r="S30" i="2"/>
  <c r="T29" i="2"/>
  <c r="S29" i="2"/>
  <c r="T28" i="2"/>
  <c r="S28" i="2"/>
  <c r="T27" i="2"/>
  <c r="S27" i="2"/>
  <c r="T26" i="2"/>
  <c r="B9" i="4"/>
  <c r="K15" i="2"/>
  <c r="N15" i="2" s="1"/>
  <c r="G15" i="2"/>
  <c r="K14" i="2"/>
  <c r="N14" i="2" s="1"/>
  <c r="G14" i="2"/>
  <c r="K11" i="2" l="1"/>
  <c r="N11" i="2" s="1"/>
  <c r="K12" i="2"/>
  <c r="N12" i="2" s="1"/>
  <c r="K13" i="2"/>
  <c r="N13" i="2" s="1"/>
  <c r="K10" i="2"/>
  <c r="N10" i="2" s="1"/>
  <c r="G11" i="2"/>
  <c r="G12" i="2"/>
  <c r="G13" i="2"/>
  <c r="G10" i="2"/>
  <c r="A9" i="3" l="1"/>
  <c r="A10" i="3"/>
  <c r="A11" i="3"/>
  <c r="A12" i="3"/>
  <c r="A13" i="3"/>
  <c r="A8" i="3"/>
  <c r="R39" i="1"/>
  <c r="V39" i="1" s="1"/>
  <c r="Q49" i="1"/>
  <c r="R49" i="1" s="1"/>
  <c r="V49" i="1" s="1"/>
  <c r="Q50" i="1"/>
  <c r="R50" i="1" s="1"/>
  <c r="V50" i="1" s="1"/>
  <c r="Q51" i="1"/>
  <c r="R51" i="1" s="1"/>
  <c r="V51" i="1" s="1"/>
  <c r="Q52" i="1"/>
  <c r="R52" i="1" s="1"/>
  <c r="V52" i="1" s="1"/>
  <c r="Q53" i="1"/>
  <c r="R53" i="1" s="1"/>
  <c r="V53" i="1" s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O2" i="1"/>
  <c r="O3" i="1"/>
  <c r="O7" i="1"/>
  <c r="O8" i="1"/>
  <c r="O9" i="1"/>
  <c r="O10" i="1"/>
  <c r="O13" i="1"/>
  <c r="O14" i="1"/>
  <c r="O15" i="1"/>
  <c r="O16" i="1"/>
  <c r="Q20" i="1"/>
  <c r="R20" i="1" s="1"/>
  <c r="Q2" i="1" l="1"/>
  <c r="R2" i="1" s="1"/>
  <c r="P2" i="1"/>
  <c r="Q16" i="1"/>
  <c r="R16" i="1" s="1"/>
  <c r="P16" i="1"/>
  <c r="Q10" i="1"/>
  <c r="R10" i="1" s="1"/>
  <c r="P10" i="1"/>
  <c r="Q3" i="1"/>
  <c r="R3" i="1" s="1"/>
  <c r="P3" i="1"/>
  <c r="Q8" i="1"/>
  <c r="R8" i="1" s="1"/>
  <c r="P8" i="1"/>
  <c r="Q15" i="1"/>
  <c r="R15" i="1" s="1"/>
  <c r="P15" i="1"/>
  <c r="Q9" i="1"/>
  <c r="R9" i="1" s="1"/>
  <c r="P9" i="1"/>
  <c r="Q14" i="1"/>
  <c r="R14" i="1" s="1"/>
  <c r="P14" i="1"/>
  <c r="Q13" i="1"/>
  <c r="R13" i="1" s="1"/>
  <c r="P13" i="1"/>
  <c r="Q7" i="1"/>
  <c r="R7" i="1" s="1"/>
  <c r="P7" i="1"/>
  <c r="G4" i="2"/>
  <c r="K5" i="2"/>
  <c r="G5" i="2"/>
  <c r="K4" i="2"/>
  <c r="H8" i="9" l="1"/>
  <c r="N8" i="9" s="1"/>
  <c r="H3" i="9"/>
  <c r="H5" i="9"/>
  <c r="H9" i="9"/>
  <c r="N9" i="9" s="1"/>
  <c r="H7" i="9"/>
  <c r="H10" i="9"/>
  <c r="N10" i="9" s="1"/>
  <c r="H6" i="9"/>
  <c r="H4" i="9"/>
  <c r="N4" i="9" s="1"/>
  <c r="C1" i="3"/>
</calcChain>
</file>

<file path=xl/sharedStrings.xml><?xml version="1.0" encoding="utf-8"?>
<sst xmlns="http://schemas.openxmlformats.org/spreadsheetml/2006/main" count="920" uniqueCount="264">
  <si>
    <t>axial length (mm)</t>
  </si>
  <si>
    <t>diameter (mm)</t>
  </si>
  <si>
    <t>Core No.</t>
  </si>
  <si>
    <t>mass (kg)</t>
  </si>
  <si>
    <t>avg</t>
  </si>
  <si>
    <t>notes</t>
  </si>
  <si>
    <t>Circumference</t>
  </si>
  <si>
    <t>BLOCK</t>
  </si>
  <si>
    <t>ACROSS FACE</t>
  </si>
  <si>
    <t>* assuming density is 2700 kg/m3</t>
  </si>
  <si>
    <t>FACES</t>
  </si>
  <si>
    <t>* assuming density is 2700 kg/m4</t>
  </si>
  <si>
    <t>1 TO 6</t>
  </si>
  <si>
    <t>A01</t>
  </si>
  <si>
    <t>2 TO 5</t>
  </si>
  <si>
    <t>A02</t>
  </si>
  <si>
    <t>3 TO 4</t>
  </si>
  <si>
    <t>B01</t>
  </si>
  <si>
    <t>B02</t>
  </si>
  <si>
    <t>C01</t>
  </si>
  <si>
    <t>0.28*</t>
  </si>
  <si>
    <t>* air dry</t>
  </si>
  <si>
    <t>C02</t>
  </si>
  <si>
    <t>D01</t>
  </si>
  <si>
    <t>D02</t>
  </si>
  <si>
    <t>E01</t>
  </si>
  <si>
    <t>E02</t>
  </si>
  <si>
    <t>LENGTH [mm]</t>
  </si>
  <si>
    <t>DIAMETER (ICE/ROCK INTERFACE) [mm]</t>
  </si>
  <si>
    <t>L/D</t>
  </si>
  <si>
    <t>DRY MASS [g]</t>
  </si>
  <si>
    <t>PHOTOS</t>
  </si>
  <si>
    <t>A</t>
  </si>
  <si>
    <t>B</t>
  </si>
  <si>
    <t>DATE</t>
  </si>
  <si>
    <t>CORE ID</t>
  </si>
  <si>
    <t>AVG</t>
  </si>
  <si>
    <t>X</t>
  </si>
  <si>
    <t>extra</t>
  </si>
  <si>
    <t>-</t>
  </si>
  <si>
    <t>Total successful tests</t>
  </si>
  <si>
    <t xml:space="preserve">sand loading rate </t>
  </si>
  <si>
    <t>N/s</t>
  </si>
  <si>
    <t>Test No.</t>
  </si>
  <si>
    <t>date prepared</t>
  </si>
  <si>
    <t>date tested</t>
  </si>
  <si>
    <r>
      <t>temp.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Arial"/>
        <family val="2"/>
      </rPr>
      <t>C)</t>
    </r>
  </si>
  <si>
    <r>
      <t>post-freeze aperture (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Arial"/>
        <family val="2"/>
      </rPr>
      <t>10</t>
    </r>
    <r>
      <rPr>
        <b/>
        <vertAlign val="superscript"/>
        <sz val="11"/>
        <color theme="1"/>
        <rFont val="Arial"/>
        <family val="2"/>
      </rPr>
      <t>-3</t>
    </r>
    <r>
      <rPr>
        <b/>
        <sz val="11"/>
        <color theme="1"/>
        <rFont val="Arial"/>
        <family val="2"/>
      </rPr>
      <t xml:space="preserve"> m)</t>
    </r>
  </si>
  <si>
    <r>
      <t>surface area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</si>
  <si>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initial load (kg)</t>
  </si>
  <si>
    <t>sand added (kg)</t>
  </si>
  <si>
    <t>applied peak load (kg)</t>
  </si>
  <si>
    <t>added fraction (%)</t>
  </si>
  <si>
    <t>applied peak load (N)</t>
  </si>
  <si>
    <r>
      <t>peak stress
(×10</t>
    </r>
    <r>
      <rPr>
        <b/>
        <vertAlign val="superscript"/>
        <sz val="11"/>
        <color theme="1"/>
        <rFont val="Arial"/>
        <family val="2"/>
      </rPr>
      <t>6</t>
    </r>
    <r>
      <rPr>
        <b/>
        <sz val="11"/>
        <color theme="1"/>
        <rFont val="Arial"/>
        <family val="2"/>
      </rPr>
      <t xml:space="preserve"> Pa)</t>
    </r>
  </si>
  <si>
    <t>water type</t>
  </si>
  <si>
    <t>break type</t>
  </si>
  <si>
    <t>left</t>
  </si>
  <si>
    <t>right</t>
  </si>
  <si>
    <t>N/A</t>
  </si>
  <si>
    <t>&gt;49.251</t>
  </si>
  <si>
    <t>&gt;483</t>
  </si>
  <si>
    <t>&gt;0.437</t>
  </si>
  <si>
    <t>tap</t>
  </si>
  <si>
    <t>collapse after weight added above 49.25kg</t>
  </si>
  <si>
    <t>specimen was in freezer for long time (similar to test 001); 0.1 kg less hardware than current setup</t>
  </si>
  <si>
    <t>&lt;49.251</t>
  </si>
  <si>
    <t>&lt;483</t>
  </si>
  <si>
    <t>&lt;0.427</t>
  </si>
  <si>
    <t>distilled</t>
  </si>
  <si>
    <t>collapse as initial weight is added; sand not added; mini freezer used</t>
  </si>
  <si>
    <t>&lt;44.935</t>
  </si>
  <si>
    <t>&lt;440.662</t>
  </si>
  <si>
    <t>&lt;0.389</t>
  </si>
  <si>
    <t>removed handle + inserts, sample collapse as initial weight added; mini freezer used; speed of test improved</t>
  </si>
  <si>
    <t>removed grey, green weights after test 005; mini freezer used, damage to core from fall; speed of test improved</t>
  </si>
  <si>
    <t>distilled;boiled</t>
  </si>
  <si>
    <t>INT</t>
  </si>
  <si>
    <t>0.5*D  + layers; collapse at interface</t>
  </si>
  <si>
    <t>A15</t>
  </si>
  <si>
    <t>B15</t>
  </si>
  <si>
    <t>DI</t>
  </si>
  <si>
    <t>MID</t>
  </si>
  <si>
    <t>slow freeze at -2degC in freeze thaw; filled fully; fracture at midspan</t>
  </si>
  <si>
    <t>A10</t>
  </si>
  <si>
    <t>B10</t>
  </si>
  <si>
    <t xml:space="preserve">layered in kenmore freezer; moved to F/T, (see temperature log (E50B6A), </t>
  </si>
  <si>
    <t>layered in W/I freezer (-24) ; moved to F/T, some voids in ice observed</t>
  </si>
  <si>
    <t>--</t>
  </si>
  <si>
    <r>
      <t xml:space="preserve">layered made in W/I freezer (-24) ; moved to F/T, some voids in ice observed; </t>
    </r>
    <r>
      <rPr>
        <b/>
        <sz val="11"/>
        <color theme="1"/>
        <rFont val="Arial"/>
        <family val="2"/>
      </rPr>
      <t>TURNBUCKLE+ROD</t>
    </r>
    <r>
      <rPr>
        <sz val="11"/>
        <color theme="1"/>
        <rFont val="Arial"/>
        <family val="2"/>
      </rPr>
      <t xml:space="preserve"> installed</t>
    </r>
  </si>
  <si>
    <t>layered made in W/Ifreezer (see logger) ; moved to F/T, small imperfection in layers at interface; failed during loading</t>
  </si>
  <si>
    <t>A03</t>
  </si>
  <si>
    <t>B03</t>
  </si>
  <si>
    <t>layered made in W/I freezer (see logger) ; moved to F/T, small imperfection in layers at interface; failed during loading</t>
  </si>
  <si>
    <t>A04</t>
  </si>
  <si>
    <t>B04</t>
  </si>
  <si>
    <t>layered made in W/I freezer (see logger) - logger in WI ; moved to F/T, small imperfection in layers at interface; failed during loading</t>
  </si>
  <si>
    <t>A05</t>
  </si>
  <si>
    <t>B05</t>
  </si>
  <si>
    <t xml:space="preserve">Base in F/T, layer in kenmore, equilibriate in F/T; </t>
  </si>
  <si>
    <t>A06</t>
  </si>
  <si>
    <t>B06</t>
  </si>
  <si>
    <t>A07</t>
  </si>
  <si>
    <t>B07</t>
  </si>
  <si>
    <t>A08</t>
  </si>
  <si>
    <t>B08</t>
  </si>
  <si>
    <t>A09</t>
  </si>
  <si>
    <t>B09</t>
  </si>
  <si>
    <t>A11</t>
  </si>
  <si>
    <t>B11</t>
  </si>
  <si>
    <t>A12</t>
  </si>
  <si>
    <t>B12</t>
  </si>
  <si>
    <t>A13</t>
  </si>
  <si>
    <t>B13</t>
  </si>
  <si>
    <t>&lt;59.2</t>
  </si>
  <si>
    <t>Base in W/I, layer in W/I, equilibriate in F/T; broke prior to weight fully loaded</t>
  </si>
  <si>
    <t>A14</t>
  </si>
  <si>
    <t>B14</t>
  </si>
  <si>
    <t>&lt;49.3</t>
  </si>
  <si>
    <t>&lt;41.37</t>
  </si>
  <si>
    <t>Base in kenmore, layer in kenmore, equilibriate in F/T; required repair -- some voids in ice observed and filled</t>
  </si>
  <si>
    <t>&lt;34.4</t>
  </si>
  <si>
    <t>Base in kenmore, layer in kenmore, equilibriate in F/T; required repair -- some voids in ice observed and filled; broke prior to weight fully loaded</t>
  </si>
  <si>
    <t>&lt;41.21</t>
  </si>
  <si>
    <t>Base in W/I, layer in kenmore, equilibriate in F/T; load greater than capacity</t>
  </si>
  <si>
    <t>&lt;36.8979</t>
  </si>
  <si>
    <t xml:space="preserve">Base in W/I, layer in kenmore, equilibriate in F/T; </t>
  </si>
  <si>
    <t>Base in W/I, layer in kenmore, equilibriate in F/T;</t>
  </si>
  <si>
    <t>Base in kenmore, layer in kenmore, anneal @ -2 for 6 hrs + equilibriate in F/T approx. 15 hrs</t>
  </si>
  <si>
    <t>Base in kenmore, layer in kenmore, anneal @ -2 for 6 hrs + equilibriate in F/T approx. 15 hrs **added insert 1 during sand.</t>
  </si>
  <si>
    <t>Base in kenmore, layer in kenmore, anneal @ -2 for 6 hrs + equilibriate in F/T approx. 15 hrs **sample broke in handling</t>
  </si>
  <si>
    <t>Base in kenmore, layer in kenmore, tape removed, anneal @ -2 for 6 hrs + equilibriate in F/T approx. (10 hrs)  **** too much sublimation</t>
  </si>
  <si>
    <t>Base in kenmore - thaw occurred, layer in kenmore, tape removed, anneal @ -1.5 for 6 hrs + equilibriate in F/T (~15 hrs)  -- sublimation avoided with 1.5" (40mm) ID pipe insulation</t>
  </si>
  <si>
    <t>Base in kenmore - thaw occurred, layer in kenmore, tape removed, anneal @ -1.5 for 6 hrs + equilibriate in F/T (~17 hrs)  -- sublimation avoided with 1.5" (40mm) ID pipe insulation</t>
  </si>
  <si>
    <t>&lt;53.59</t>
  </si>
  <si>
    <t>Base in kenmore - thaw occurred, layer in kenmore, tape removed, anneal @ -1.5 for 6 hrs + equilibriate in F/T (~17 hrs)  -- sublimation avoided with 1.5" (40mm) ID pipe insulation; possible weakness from small sublimation in compression zone.</t>
  </si>
  <si>
    <t>Base in kenmore, layer in kenmore, tape removed, anneal @ -1.5 for 6 hrs + equilibriate in F/T (~31 hrs)  -- no sublimation with 1.5" (40mm) ID pipe insulation;</t>
  </si>
  <si>
    <t>Base in kenmore, layer in kenmore, tape removed, anneal @ -1.5 for 6 hrs + equilibriate in F/T (~31 hrs)  -- no sublimation with 1.5" (40mm) ID pipe insulation; weight added after running out of sand (1-grey, 4 inserts, 2 large bolts. loading time &gt; 3 minutes. rod threads may have caught on hole threads</t>
  </si>
  <si>
    <t>Base in kenmore, layer in kenmore, tape removed, anneal @ -1.5 for 6 hrs + equilibriate in F/T (~31 hrs)  -- no sublimation with 1.5" (40mm) ID pipe insulation; weight added after running out of sand (4 inserts, 3 large bolts. loading time ~4 minutes. rod threads may have caught on hole threads</t>
  </si>
  <si>
    <t>Base in kenmore, layer in kenmore, tape removed, anneal @ -1.5 for 6 hrs + equilibriate in F/T (~31 hrs)  -- no sublimation with 1.5" (40mm) ID pipe insulation; weight added after running out of sand (5 small bolts, 3 large bolts) loading time ~4.3 minutes. rod threads may have caught on hole threads</t>
  </si>
  <si>
    <t>INT*</t>
  </si>
  <si>
    <t>Base in kenmore, layer in kenmore, tape removed, anneal @ -1.5 for 6 hrs + equilibriate in F/T (~31 hrs)  -- no sublimation with 1.5" (40mm) ID pipe insulation; test time =~2:15; explosive failure, ice could not be recovered from B14</t>
  </si>
  <si>
    <t>Base in kenmore, layer in kenmore, tape removed, anneal @ -1.5 for 6 hrs + equilibriate in F/T (~31 hrs)  -- no sublimation with 1.5" (40mm) ID pipe insulation; test time =~3;</t>
  </si>
  <si>
    <t>Base in kenmore, layer in kenmore, tape removed, anneal @ -1.5 for 6 hrs + equilibriate in F/T (~10 hrs)  -- no sublimation with 1.5" (40mm) ID pipe insulation;</t>
  </si>
  <si>
    <t>Base in kenmore, layer in kenmore, tape removed, anneal @ -1.5 for 6 hrs + equilibriate in F/T (~10 hrs)  -- no sublimation with 1.5" (40mm) ID pipe insulation; slightly larger aperature in layered zone (where measurement is). ~0.3 mm difference</t>
  </si>
  <si>
    <t>Base in kenmore, layer in kenmore, tape removed, anneal @ -1.5 for 6 hrs + equilibriate in F/T (~10 hrs) -- no sublimation with 1.5" (40mm) ID pipe insulation;</t>
  </si>
  <si>
    <t>Base in kenmore, layer in kenmore, tape removed, anneal @ -1.5 for 6 hrs + equilibriate in F/T (~10 hrs) -- no sublimation with 1.5" (40mm) ID pipe insulation; small bolts (1,2,4-6) added after sand used</t>
  </si>
  <si>
    <t>**Prior measurements were inaccurate (recorded in rows 3-8)</t>
  </si>
  <si>
    <t>weights</t>
  </si>
  <si>
    <t>top wood</t>
  </si>
  <si>
    <t>bot wood w/ hardware</t>
  </si>
  <si>
    <t>cables + hardware</t>
  </si>
  <si>
    <t>aluminum tray</t>
  </si>
  <si>
    <t>total w/o core</t>
  </si>
  <si>
    <t>date measured</t>
  </si>
  <si>
    <t>item</t>
  </si>
  <si>
    <t>grey</t>
  </si>
  <si>
    <t>green</t>
  </si>
  <si>
    <t>purple</t>
  </si>
  <si>
    <t>white</t>
  </si>
  <si>
    <t>handle</t>
  </si>
  <si>
    <t>inserts 1</t>
  </si>
  <si>
    <t>inserts 2</t>
  </si>
  <si>
    <t>inserts 3</t>
  </si>
  <si>
    <t>inserts 4</t>
  </si>
  <si>
    <t>mass (g)</t>
  </si>
  <si>
    <t>top &amp; bottom wood + hardware and  cables</t>
  </si>
  <si>
    <t xml:space="preserve"> supports + yoke1.0 + cables</t>
  </si>
  <si>
    <t xml:space="preserve"> supports + yoke2.0 + rod + turnbuckle</t>
  </si>
  <si>
    <t>total w/o cores</t>
  </si>
  <si>
    <t>Bucket</t>
  </si>
  <si>
    <t>total large</t>
  </si>
  <si>
    <t>total small</t>
  </si>
  <si>
    <t>TOTAL</t>
  </si>
  <si>
    <t>test</t>
  </si>
  <si>
    <t>Preparation notes</t>
  </si>
  <si>
    <t>non-distilled (tap) water;</t>
  </si>
  <si>
    <t>switch to distilled water; cooled water + rock to +4C before assemble w/ ice</t>
  </si>
  <si>
    <t>collapse as initial weight is added; sand not added; different freezer used</t>
  </si>
  <si>
    <t>cooled water + rock to +4C before assemble w/ ice</t>
  </si>
  <si>
    <t>removed handle + inserts, sample collapse as initial weight added; mini freezer used</t>
  </si>
  <si>
    <t>removed grey, green weights after test 005; mini freezer used, part of core broke after sample fell</t>
  </si>
  <si>
    <t>average</t>
  </si>
  <si>
    <t>std dev</t>
  </si>
  <si>
    <t>err avg</t>
  </si>
  <si>
    <t>run</t>
  </si>
  <si>
    <t>k</t>
  </si>
  <si>
    <t>T</t>
  </si>
  <si>
    <t>err</t>
  </si>
  <si>
    <t>datetime</t>
  </si>
  <si>
    <t>thermal contact</t>
  </si>
  <si>
    <t>MATERIAL</t>
  </si>
  <si>
    <t>hole orientation wrt cut face</t>
  </si>
  <si>
    <t>25-10-2019 10:10</t>
  </si>
  <si>
    <t>N</t>
  </si>
  <si>
    <t>rock lump</t>
  </si>
  <si>
    <t>perpendicular</t>
  </si>
  <si>
    <t>25-10-2019 11:34</t>
  </si>
  <si>
    <t>25-10-2019 12:00</t>
  </si>
  <si>
    <t>verification block</t>
  </si>
  <si>
    <t>n/a</t>
  </si>
  <si>
    <t>26-10-2019 10:13</t>
  </si>
  <si>
    <t>Y</t>
  </si>
  <si>
    <t>26-10-2019 10:14</t>
  </si>
  <si>
    <t>26-10-2019 10:15</t>
  </si>
  <si>
    <t>08-11-2019 15:57</t>
  </si>
  <si>
    <t xml:space="preserve">inclined </t>
  </si>
  <si>
    <t>parallel</t>
  </si>
  <si>
    <t>11-11-2019 15:55</t>
  </si>
  <si>
    <t>11-11-2019 16:15</t>
  </si>
  <si>
    <t>Base in kenmore, layer in kenmore, tape removed, anneal @ -1.5 for 6 hrs + equilibriate in F/T (~10 hrs)  -- no sublimation with 1.5" (40mm) ID pipe insulation; test time ~2.5 min</t>
  </si>
  <si>
    <t>Base in kenmore, layer in kenmore, tape removed, anneal @ -1.5 for 6 hrs + equilibriate in F/T (~10 hrs)  -- no sublimation with 1.5" (40mm) ID pipe insulation; sample fell into sand after collapsing</t>
  </si>
  <si>
    <t>Base in kenmore, layer in kenmore, tape removed, anneal @ -1.5 for 6 hrs + equilibriate in F/T (~10 hrs) -- no sublimation with 1.5" (40mm) ID pipe insulation; sample hit floor and damaged ice (see photo)</t>
  </si>
  <si>
    <t xml:space="preserve">Base in kenmore, layer in kenmore, tape removed, anneal @ -1.5 for 6 hrs + equilibriate in F/T (~10 hrs) -- no sublimation with 1.5" (40mm) ID pipe insulation; </t>
  </si>
  <si>
    <t>cuboid rock</t>
  </si>
  <si>
    <t>lump rock</t>
  </si>
  <si>
    <t>water bottle</t>
  </si>
  <si>
    <t>Base in kenmore, layer in kenmore, tape removed, anneal @ -1.5 for 6 hrs + equilibriate in F/T (~10 hrs)  -- no sublimation with 1.5" (40mm) ID pipe insulation; TEST in W/I freezer</t>
  </si>
  <si>
    <t>ratchet set (loose)</t>
  </si>
  <si>
    <t>bag of sand</t>
  </si>
  <si>
    <t>small nut</t>
  </si>
  <si>
    <t>hex nuts (large)</t>
  </si>
  <si>
    <t>hex nuts (small)</t>
  </si>
  <si>
    <t>ice pack</t>
  </si>
  <si>
    <t>wood (for holding)</t>
  </si>
  <si>
    <t>funnel</t>
  </si>
  <si>
    <t>dish pan</t>
  </si>
  <si>
    <t>ratchet w case</t>
  </si>
  <si>
    <t>rock core (marble)</t>
  </si>
  <si>
    <t>Base in kenmore, layer in kenmore, tape removed, anneal @ -1.5 for 6 hrs + equilibriate in F/T (~10 hrs)  -- no sublimation with 1.5" (40mm) ID pipe insulation; TEST in W/I freezer **not continuous loading -- needed to add additional weights</t>
  </si>
  <si>
    <t>shears + plyers</t>
  </si>
  <si>
    <t>aluminum tray (taped)</t>
  </si>
  <si>
    <t>Base in kenmore, layer in kenmore, tape removed, anneal @ -1.5 for 6 hrs + equilibriate in F/T (~10 hrs) -- no sublimation with 1.5" (40mm) ID pipe insulation; specimen ice detatched when tested - not recoverable</t>
  </si>
  <si>
    <t>Base in kenmore, layer in kenmore, tape removed, anneal @ -1.5 for 6 hrs + equilibriate in F/T (~10 hrs) -- no sublimation with 1.5" (40mm) ID pipe insulation; intermittent loading - ran out of sand. Specimen collapsed after approx. 5 mins</t>
  </si>
  <si>
    <t>allen keys</t>
  </si>
  <si>
    <t>ID 05-12 rocks</t>
  </si>
  <si>
    <t>shovel</t>
  </si>
  <si>
    <t>tools + case</t>
  </si>
  <si>
    <t>measuring tape</t>
  </si>
  <si>
    <t>geohammer</t>
  </si>
  <si>
    <t>vice grip</t>
  </si>
  <si>
    <t>Base in kenmore, layer in kenmore, tape removed, anneal @ -1.5 for 6 hrs + equilibriate in F/T (~10 hrs) -- no sublimation with 1.5" (40mm) ID pipe insulation; appeared to have failed in compression as well as at interface</t>
  </si>
  <si>
    <t>core_l</t>
  </si>
  <si>
    <t>core_r</t>
  </si>
  <si>
    <t>quality</t>
  </si>
  <si>
    <t>ID</t>
  </si>
  <si>
    <t>date_prep</t>
  </si>
  <si>
    <t>date_test</t>
  </si>
  <si>
    <t>temp_degC</t>
  </si>
  <si>
    <t>post-freeze_aperture</t>
  </si>
  <si>
    <t>surface_area</t>
  </si>
  <si>
    <t>init_load</t>
  </si>
  <si>
    <t>add_load</t>
  </si>
  <si>
    <t>max_load</t>
  </si>
  <si>
    <t>added_frac</t>
  </si>
  <si>
    <t>peak_force</t>
  </si>
  <si>
    <t>peak_stressMPa</t>
  </si>
  <si>
    <t>water_type</t>
  </si>
  <si>
    <t>break_type</t>
  </si>
  <si>
    <t>test_timeUTC</t>
  </si>
  <si>
    <t>L_left</t>
  </si>
  <si>
    <t>L_right</t>
  </si>
  <si>
    <t>dia_left</t>
  </si>
  <si>
    <t>dia_right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</si>
</sst>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[$-F800]dddd\,\ mmmm\ dd\,\ yyyy"/>
    <numFmt numFmtId="165" formatCode="0.000"/>
    <numFmt numFmtId="166" formatCode="000"/>
    <numFmt numFmtId="167" formatCode="0.0000"/>
    <numFmt numFmtId="168" formatCode="0.000000"/>
    <numFmt numFmtId="169" formatCode="#,##0.00;;;"/>
    <numFmt numFmtId="170" formatCode="0.000;;;"/>
    <numFmt numFmtId="171" formatCode="0.0000;;;"/>
    <numFmt numFmtId="172" formatCode="0.000;;"/>
    <numFmt numFmtId="173" formatCode="#,##0.000;;"/>
    <numFmt numFmtId="174" formatCode="yyyy/mm/dd;@"/>
    <numFmt numFmtId="175" formatCode="0.0"/>
    <numFmt numFmtId="176" formatCode="00"/>
    <numFmt numFmtId="177" formatCode="00.00"/>
    <numFmt numFmtId="178" formatCode="0.00000"/>
    <numFmt numFmtId="179" formatCode="#,##0.0000;;"/>
    <numFmt numFmtId="180" formatCode="0.0%"/>
    <numFmt numFmtId="181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29">
    <xf numFmtId="0" fontId="0" fillId="0" borderId="0" xfId="0"/>
    <xf numFmtId="0" fontId="1" fillId="0" borderId="0" xfId="0" applyFont="1"/>
    <xf numFmtId="0" fontId="0" fillId="0" borderId="2" xfId="0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169" fontId="1" fillId="0" borderId="6" xfId="0" applyNumberFormat="1" applyFont="1" applyBorder="1" applyAlignment="1">
      <alignment horizontal="center" vertical="center"/>
    </xf>
    <xf numFmtId="17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172" fontId="1" fillId="0" borderId="6" xfId="0" applyNumberFormat="1" applyFont="1" applyBorder="1" applyAlignment="1">
      <alignment horizontal="center" vertical="center"/>
    </xf>
    <xf numFmtId="173" fontId="1" fillId="0" borderId="6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/>
    <xf numFmtId="175" fontId="0" fillId="0" borderId="0" xfId="0" applyNumberFormat="1"/>
    <xf numFmtId="0" fontId="1" fillId="0" borderId="0" xfId="0" applyFont="1" applyFill="1" applyAlignment="1">
      <alignment vertic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4" borderId="19" xfId="0" applyNumberFormat="1" applyFill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0" fillId="4" borderId="14" xfId="0" applyNumberFormat="1" applyFill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75" fontId="0" fillId="0" borderId="16" xfId="0" applyNumberFormat="1" applyBorder="1" applyAlignment="1">
      <alignment horizontal="center" vertical="center"/>
    </xf>
    <xf numFmtId="175" fontId="0" fillId="0" borderId="18" xfId="0" applyNumberFormat="1" applyBorder="1" applyAlignment="1">
      <alignment horizontal="center" vertical="center"/>
    </xf>
    <xf numFmtId="175" fontId="0" fillId="4" borderId="19" xfId="0" applyNumberFormat="1" applyFill="1" applyBorder="1" applyAlignment="1">
      <alignment horizontal="center" vertical="center"/>
    </xf>
    <xf numFmtId="175" fontId="0" fillId="4" borderId="20" xfId="0" applyNumberFormat="1" applyFill="1" applyBorder="1" applyAlignment="1">
      <alignment horizontal="center" vertical="center"/>
    </xf>
    <xf numFmtId="175" fontId="0" fillId="0" borderId="19" xfId="0" applyNumberFormat="1" applyBorder="1" applyAlignment="1">
      <alignment horizontal="center" vertical="center"/>
    </xf>
    <xf numFmtId="175" fontId="0" fillId="0" borderId="20" xfId="0" applyNumberFormat="1" applyBorder="1" applyAlignment="1">
      <alignment horizontal="center" vertical="center"/>
    </xf>
    <xf numFmtId="175" fontId="0" fillId="0" borderId="21" xfId="0" applyNumberFormat="1" applyBorder="1" applyAlignment="1">
      <alignment horizontal="center" vertical="center"/>
    </xf>
    <xf numFmtId="175" fontId="0" fillId="0" borderId="23" xfId="0" applyNumberFormat="1" applyBorder="1" applyAlignment="1">
      <alignment horizontal="center" vertical="center"/>
    </xf>
    <xf numFmtId="177" fontId="0" fillId="4" borderId="0" xfId="0" applyNumberFormat="1" applyFill="1" applyBorder="1" applyAlignment="1">
      <alignment horizontal="center" vertical="center"/>
    </xf>
    <xf numFmtId="14" fontId="0" fillId="4" borderId="24" xfId="0" applyNumberFormat="1" applyFill="1" applyBorder="1" applyAlignment="1">
      <alignment horizontal="center"/>
    </xf>
    <xf numFmtId="176" fontId="0" fillId="4" borderId="12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175" fontId="0" fillId="4" borderId="24" xfId="0" applyNumberFormat="1" applyFill="1" applyBorder="1" applyAlignment="1">
      <alignment horizontal="center" vertical="center"/>
    </xf>
    <xf numFmtId="175" fontId="0" fillId="4" borderId="26" xfId="0" applyNumberFormat="1" applyFill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0" fontId="0" fillId="0" borderId="10" xfId="0" applyBorder="1"/>
    <xf numFmtId="2" fontId="0" fillId="6" borderId="10" xfId="0" applyNumberFormat="1" applyFill="1" applyBorder="1"/>
    <xf numFmtId="2" fontId="0" fillId="0" borderId="10" xfId="0" applyNumberFormat="1" applyBorder="1"/>
    <xf numFmtId="0" fontId="7" fillId="0" borderId="0" xfId="0" applyFont="1"/>
    <xf numFmtId="166" fontId="1" fillId="6" borderId="0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168" fontId="1" fillId="6" borderId="0" xfId="0" applyNumberFormat="1" applyFont="1" applyFill="1" applyBorder="1" applyAlignment="1">
      <alignment horizontal="center" vertical="center"/>
    </xf>
    <xf numFmtId="165" fontId="1" fillId="6" borderId="0" xfId="0" applyNumberFormat="1" applyFont="1" applyFill="1" applyBorder="1" applyAlignment="1">
      <alignment horizontal="center" vertical="center"/>
    </xf>
    <xf numFmtId="169" fontId="1" fillId="6" borderId="0" xfId="0" applyNumberFormat="1" applyFont="1" applyFill="1" applyBorder="1" applyAlignment="1">
      <alignment horizontal="center" vertical="center"/>
    </xf>
    <xf numFmtId="170" fontId="1" fillId="6" borderId="0" xfId="0" applyNumberFormat="1" applyFont="1" applyFill="1" applyBorder="1" applyAlignment="1">
      <alignment horizontal="center" vertical="center"/>
    </xf>
    <xf numFmtId="172" fontId="1" fillId="6" borderId="0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68" fontId="1" fillId="0" borderId="10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9" fontId="1" fillId="0" borderId="10" xfId="0" applyNumberFormat="1" applyFont="1" applyBorder="1" applyAlignment="1">
      <alignment horizontal="center" vertical="center"/>
    </xf>
    <xf numFmtId="170" fontId="1" fillId="0" borderId="10" xfId="0" applyNumberFormat="1" applyFont="1" applyBorder="1" applyAlignment="1">
      <alignment horizontal="center" vertical="center"/>
    </xf>
    <xf numFmtId="14" fontId="1" fillId="0" borderId="2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166" fontId="1" fillId="7" borderId="10" xfId="0" applyNumberFormat="1" applyFont="1" applyFill="1" applyBorder="1" applyAlignment="1">
      <alignment horizontal="center" vertical="center"/>
    </xf>
    <xf numFmtId="14" fontId="1" fillId="7" borderId="10" xfId="0" applyNumberFormat="1" applyFont="1" applyFill="1" applyBorder="1" applyAlignment="1">
      <alignment horizontal="center" vertical="center"/>
    </xf>
    <xf numFmtId="14" fontId="1" fillId="7" borderId="6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2" fontId="1" fillId="7" borderId="10" xfId="0" applyNumberFormat="1" applyFont="1" applyFill="1" applyBorder="1" applyAlignment="1">
      <alignment horizontal="center" vertical="center"/>
    </xf>
    <xf numFmtId="168" fontId="1" fillId="7" borderId="10" xfId="0" applyNumberFormat="1" applyFont="1" applyFill="1" applyBorder="1" applyAlignment="1">
      <alignment horizontal="center" vertical="center"/>
    </xf>
    <xf numFmtId="165" fontId="1" fillId="7" borderId="10" xfId="0" applyNumberFormat="1" applyFont="1" applyFill="1" applyBorder="1" applyAlignment="1">
      <alignment horizontal="center" vertical="center"/>
    </xf>
    <xf numFmtId="169" fontId="1" fillId="7" borderId="10" xfId="0" applyNumberFormat="1" applyFont="1" applyFill="1" applyBorder="1" applyAlignment="1">
      <alignment horizontal="center" vertical="center"/>
    </xf>
    <xf numFmtId="170" fontId="1" fillId="7" borderId="10" xfId="0" applyNumberFormat="1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168" fontId="1" fillId="0" borderId="27" xfId="0" applyNumberFormat="1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9" fontId="1" fillId="0" borderId="27" xfId="0" applyNumberFormat="1" applyFont="1" applyBorder="1" applyAlignment="1">
      <alignment horizontal="center" vertical="center"/>
    </xf>
    <xf numFmtId="170" fontId="1" fillId="0" borderId="27" xfId="0" applyNumberFormat="1" applyFont="1" applyBorder="1" applyAlignment="1">
      <alignment horizontal="center" vertical="center"/>
    </xf>
    <xf numFmtId="166" fontId="1" fillId="5" borderId="10" xfId="0" applyNumberFormat="1" applyFont="1" applyFill="1" applyBorder="1" applyAlignment="1">
      <alignment horizontal="center" vertical="center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168" fontId="1" fillId="5" borderId="10" xfId="0" applyNumberFormat="1" applyFont="1" applyFill="1" applyBorder="1" applyAlignment="1">
      <alignment horizontal="center" vertical="center"/>
    </xf>
    <xf numFmtId="165" fontId="1" fillId="5" borderId="10" xfId="0" quotePrefix="1" applyNumberFormat="1" applyFont="1" applyFill="1" applyBorder="1" applyAlignment="1">
      <alignment horizontal="center" vertical="center"/>
    </xf>
    <xf numFmtId="169" fontId="1" fillId="5" borderId="10" xfId="0" quotePrefix="1" applyNumberFormat="1" applyFont="1" applyFill="1" applyBorder="1" applyAlignment="1">
      <alignment horizontal="center" vertical="center"/>
    </xf>
    <xf numFmtId="170" fontId="1" fillId="5" borderId="10" xfId="0" quotePrefix="1" applyNumberFormat="1" applyFont="1" applyFill="1" applyBorder="1" applyAlignment="1">
      <alignment horizontal="center" vertical="center"/>
    </xf>
    <xf numFmtId="165" fontId="1" fillId="5" borderId="10" xfId="0" applyNumberFormat="1" applyFont="1" applyFill="1" applyBorder="1" applyAlignment="1">
      <alignment horizontal="center" vertical="center"/>
    </xf>
    <xf numFmtId="169" fontId="1" fillId="5" borderId="10" xfId="0" applyNumberFormat="1" applyFont="1" applyFill="1" applyBorder="1" applyAlignment="1">
      <alignment horizontal="center" vertical="center"/>
    </xf>
    <xf numFmtId="170" fontId="1" fillId="5" borderId="10" xfId="0" applyNumberFormat="1" applyFont="1" applyFill="1" applyBorder="1" applyAlignment="1">
      <alignment horizontal="center" vertical="center"/>
    </xf>
    <xf numFmtId="169" fontId="1" fillId="4" borderId="10" xfId="0" quotePrefix="1" applyNumberFormat="1" applyFont="1" applyFill="1" applyBorder="1" applyAlignment="1">
      <alignment horizontal="center" vertical="center"/>
    </xf>
    <xf numFmtId="170" fontId="1" fillId="4" borderId="10" xfId="0" quotePrefix="1" applyNumberFormat="1" applyFont="1" applyFill="1" applyBorder="1" applyAlignment="1">
      <alignment horizontal="center" vertical="center"/>
    </xf>
    <xf numFmtId="165" fontId="1" fillId="4" borderId="10" xfId="0" quotePrefix="1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1" fillId="2" borderId="3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quotePrefix="1" applyFont="1" applyFill="1" applyBorder="1" applyAlignment="1">
      <alignment horizontal="center" vertical="center"/>
    </xf>
    <xf numFmtId="17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quotePrefix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right" vertical="center"/>
    </xf>
    <xf numFmtId="165" fontId="1" fillId="3" borderId="10" xfId="0" applyNumberFormat="1" applyFont="1" applyFill="1" applyBorder="1" applyAlignment="1">
      <alignment horizontal="right" vertical="center"/>
    </xf>
    <xf numFmtId="165" fontId="1" fillId="3" borderId="10" xfId="0" applyNumberFormat="1" applyFont="1" applyFill="1" applyBorder="1" applyAlignment="1">
      <alignment horizontal="center" vertical="center"/>
    </xf>
    <xf numFmtId="0" fontId="1" fillId="8" borderId="10" xfId="0" quotePrefix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vertical="center"/>
    </xf>
    <xf numFmtId="0" fontId="0" fillId="0" borderId="0" xfId="0" applyBorder="1"/>
    <xf numFmtId="0" fontId="2" fillId="2" borderId="31" xfId="0" applyFont="1" applyFill="1" applyBorder="1" applyAlignment="1">
      <alignment vertical="center"/>
    </xf>
    <xf numFmtId="0" fontId="2" fillId="3" borderId="3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10" xfId="0" applyFont="1" applyFill="1" applyBorder="1" applyAlignment="1">
      <alignment horizontal="center"/>
    </xf>
    <xf numFmtId="168" fontId="1" fillId="5" borderId="10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0" borderId="10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8" fontId="1" fillId="0" borderId="10" xfId="0" applyNumberFormat="1" applyFont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0" xfId="0" quotePrefix="1" applyNumberFormat="1" applyFont="1" applyFill="1" applyBorder="1" applyAlignment="1">
      <alignment horizontal="center" vertical="center"/>
    </xf>
    <xf numFmtId="166" fontId="1" fillId="0" borderId="36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68" fontId="1" fillId="0" borderId="36" xfId="0" applyNumberFormat="1" applyFont="1" applyBorder="1" applyAlignment="1">
      <alignment horizontal="center" vertical="center"/>
    </xf>
    <xf numFmtId="166" fontId="1" fillId="0" borderId="37" xfId="0" applyNumberFormat="1" applyFont="1" applyBorder="1" applyAlignment="1">
      <alignment horizontal="center" vertical="center"/>
    </xf>
    <xf numFmtId="14" fontId="1" fillId="0" borderId="3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168" fontId="1" fillId="0" borderId="37" xfId="0" applyNumberFormat="1" applyFont="1" applyBorder="1" applyAlignment="1">
      <alignment horizontal="center"/>
    </xf>
    <xf numFmtId="169" fontId="1" fillId="0" borderId="37" xfId="0" applyNumberFormat="1" applyFont="1" applyBorder="1" applyAlignment="1">
      <alignment horizontal="center" vertical="center"/>
    </xf>
    <xf numFmtId="170" fontId="1" fillId="0" borderId="37" xfId="0" applyNumberFormat="1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/>
    </xf>
    <xf numFmtId="179" fontId="1" fillId="4" borderId="10" xfId="0" quotePrefix="1" applyNumberFormat="1" applyFont="1" applyFill="1" applyBorder="1" applyAlignment="1">
      <alignment horizontal="center" vertical="center"/>
    </xf>
    <xf numFmtId="14" fontId="8" fillId="0" borderId="37" xfId="0" applyNumberFormat="1" applyFont="1" applyBorder="1" applyAlignment="1">
      <alignment horizontal="center"/>
    </xf>
    <xf numFmtId="168" fontId="1" fillId="0" borderId="36" xfId="0" applyNumberFormat="1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2" fontId="1" fillId="0" borderId="0" xfId="0" applyNumberFormat="1" applyFont="1"/>
    <xf numFmtId="175" fontId="0" fillId="0" borderId="10" xfId="0" applyNumberFormat="1" applyFill="1" applyBorder="1"/>
    <xf numFmtId="180" fontId="1" fillId="0" borderId="6" xfId="1" applyNumberFormat="1" applyFont="1" applyBorder="1" applyAlignment="1">
      <alignment horizontal="center" vertical="center"/>
    </xf>
    <xf numFmtId="180" fontId="1" fillId="5" borderId="10" xfId="1" applyNumberFormat="1" applyFont="1" applyFill="1" applyBorder="1" applyAlignment="1">
      <alignment horizontal="center" vertical="center"/>
    </xf>
    <xf numFmtId="180" fontId="1" fillId="4" borderId="10" xfId="1" quotePrefix="1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quotePrefix="1" applyNumberFormat="1" applyFont="1" applyFill="1" applyBorder="1" applyAlignment="1">
      <alignment horizontal="center" vertical="center"/>
    </xf>
    <xf numFmtId="1" fontId="1" fillId="4" borderId="6" xfId="0" quotePrefix="1" applyNumberFormat="1" applyFont="1" applyFill="1" applyBorder="1" applyAlignment="1">
      <alignment horizontal="center" vertical="center"/>
    </xf>
    <xf numFmtId="165" fontId="1" fillId="4" borderId="6" xfId="0" quotePrefix="1" applyNumberFormat="1" applyFont="1" applyFill="1" applyBorder="1" applyAlignment="1">
      <alignment horizontal="center" vertical="center"/>
    </xf>
    <xf numFmtId="169" fontId="1" fillId="4" borderId="36" xfId="0" quotePrefix="1" applyNumberFormat="1" applyFont="1" applyFill="1" applyBorder="1" applyAlignment="1">
      <alignment horizontal="center" vertical="center"/>
    </xf>
    <xf numFmtId="180" fontId="1" fillId="0" borderId="4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80" fontId="1" fillId="0" borderId="10" xfId="1" applyNumberFormat="1" applyFon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67" fontId="1" fillId="0" borderId="10" xfId="0" applyNumberFormat="1" applyFont="1" applyBorder="1" applyAlignment="1">
      <alignment horizontal="center"/>
    </xf>
    <xf numFmtId="167" fontId="1" fillId="4" borderId="10" xfId="0" applyNumberFormat="1" applyFont="1" applyFill="1" applyBorder="1" applyAlignment="1">
      <alignment horizontal="center"/>
    </xf>
    <xf numFmtId="167" fontId="1" fillId="5" borderId="10" xfId="0" applyNumberFormat="1" applyFont="1" applyFill="1" applyBorder="1" applyAlignment="1">
      <alignment horizontal="center" vertical="center"/>
    </xf>
    <xf numFmtId="167" fontId="1" fillId="0" borderId="10" xfId="0" applyNumberFormat="1" applyFont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0" xfId="0" applyFill="1" applyBorder="1"/>
    <xf numFmtId="0" fontId="1" fillId="0" borderId="2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181" fontId="1" fillId="7" borderId="28" xfId="0" applyNumberFormat="1" applyFont="1" applyFill="1" applyBorder="1" applyAlignment="1">
      <alignment horizontal="center" vertical="center"/>
    </xf>
    <xf numFmtId="181" fontId="1" fillId="0" borderId="27" xfId="0" applyNumberFormat="1" applyFont="1" applyBorder="1" applyAlignment="1">
      <alignment horizontal="center" vertical="center"/>
    </xf>
    <xf numFmtId="181" fontId="1" fillId="0" borderId="10" xfId="0" applyNumberFormat="1" applyFont="1" applyBorder="1" applyAlignment="1">
      <alignment horizontal="center" vertical="center"/>
    </xf>
    <xf numFmtId="181" fontId="1" fillId="5" borderId="10" xfId="0" applyNumberFormat="1" applyFont="1" applyFill="1" applyBorder="1" applyAlignment="1">
      <alignment horizontal="center" vertical="center"/>
    </xf>
    <xf numFmtId="181" fontId="1" fillId="5" borderId="10" xfId="0" applyNumberFormat="1" applyFont="1" applyFill="1" applyBorder="1" applyAlignment="1">
      <alignment horizontal="center"/>
    </xf>
    <xf numFmtId="181" fontId="1" fillId="0" borderId="10" xfId="0" applyNumberFormat="1" applyFont="1" applyBorder="1" applyAlignment="1">
      <alignment horizontal="center"/>
    </xf>
    <xf numFmtId="181" fontId="1" fillId="0" borderId="28" xfId="0" applyNumberFormat="1" applyFont="1" applyBorder="1" applyAlignment="1">
      <alignment horizontal="center"/>
    </xf>
    <xf numFmtId="181" fontId="1" fillId="0" borderId="38" xfId="0" applyNumberFormat="1" applyFont="1" applyBorder="1" applyAlignment="1">
      <alignment horizontal="center"/>
    </xf>
    <xf numFmtId="181" fontId="1" fillId="0" borderId="5" xfId="0" applyNumberFormat="1" applyFont="1" applyBorder="1" applyAlignment="1">
      <alignment horizontal="center"/>
    </xf>
    <xf numFmtId="181" fontId="1" fillId="0" borderId="5" xfId="0" quotePrefix="1" applyNumberFormat="1" applyFont="1" applyBorder="1" applyAlignment="1">
      <alignment horizontal="center"/>
    </xf>
    <xf numFmtId="181" fontId="1" fillId="5" borderId="5" xfId="0" applyNumberFormat="1" applyFont="1" applyFill="1" applyBorder="1" applyAlignment="1">
      <alignment horizontal="center" vertical="center"/>
    </xf>
    <xf numFmtId="181" fontId="1" fillId="0" borderId="5" xfId="0" applyNumberFormat="1" applyFont="1" applyBorder="1" applyAlignment="1">
      <alignment horizontal="center" vertical="center"/>
    </xf>
    <xf numFmtId="166" fontId="1" fillId="5" borderId="36" xfId="0" applyNumberFormat="1" applyFont="1" applyFill="1" applyBorder="1" applyAlignment="1">
      <alignment horizontal="center"/>
    </xf>
    <xf numFmtId="14" fontId="1" fillId="5" borderId="10" xfId="0" applyNumberFormat="1" applyFont="1" applyFill="1" applyBorder="1" applyAlignment="1">
      <alignment horizontal="center"/>
    </xf>
    <xf numFmtId="0" fontId="1" fillId="5" borderId="10" xfId="0" quotePrefix="1" applyFont="1" applyFill="1" applyBorder="1" applyAlignment="1">
      <alignment horizontal="center"/>
    </xf>
    <xf numFmtId="181" fontId="1" fillId="5" borderId="5" xfId="0" quotePrefix="1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8" fontId="1" fillId="5" borderId="36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5" borderId="28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7" borderId="28" xfId="0" applyFont="1" applyFill="1" applyBorder="1" applyAlignment="1">
      <alignment horizontal="left" vertical="center"/>
    </xf>
    <xf numFmtId="0" fontId="1" fillId="7" borderId="29" xfId="0" applyFont="1" applyFill="1" applyBorder="1" applyAlignment="1">
      <alignment horizontal="left" vertical="center"/>
    </xf>
    <xf numFmtId="0" fontId="1" fillId="7" borderId="30" xfId="0" applyFont="1" applyFill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174" fontId="1" fillId="3" borderId="10" xfId="0" applyNumberFormat="1" applyFont="1" applyFill="1" applyBorder="1" applyAlignment="1">
      <alignment horizontal="center" vertical="center"/>
    </xf>
    <xf numFmtId="174" fontId="1" fillId="0" borderId="10" xfId="0" applyNumberFormat="1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4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 wrapText="1"/>
    </xf>
    <xf numFmtId="0" fontId="5" fillId="8" borderId="36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72" fontId="12" fillId="7" borderId="6" xfId="0" applyNumberFormat="1" applyFont="1" applyFill="1" applyBorder="1" applyAlignment="1">
      <alignment horizontal="center" vertical="center"/>
    </xf>
    <xf numFmtId="172" fontId="12" fillId="0" borderId="7" xfId="0" applyNumberFormat="1" applyFont="1" applyBorder="1" applyAlignment="1">
      <alignment horizontal="center" vertical="center"/>
    </xf>
    <xf numFmtId="172" fontId="12" fillId="0" borderId="10" xfId="0" applyNumberFormat="1" applyFont="1" applyBorder="1" applyAlignment="1">
      <alignment horizontal="center" vertical="center"/>
    </xf>
    <xf numFmtId="172" fontId="12" fillId="4" borderId="10" xfId="0" quotePrefix="1" applyNumberFormat="1" applyFont="1" applyFill="1" applyBorder="1" applyAlignment="1">
      <alignment horizontal="center" vertical="center"/>
    </xf>
    <xf numFmtId="172" fontId="12" fillId="5" borderId="10" xfId="0" applyNumberFormat="1" applyFont="1" applyFill="1" applyBorder="1" applyAlignment="1">
      <alignment horizontal="center" vertical="center"/>
    </xf>
    <xf numFmtId="169" fontId="12" fillId="4" borderId="10" xfId="0" quotePrefix="1" applyNumberFormat="1" applyFont="1" applyFill="1" applyBorder="1" applyAlignment="1">
      <alignment horizontal="center" vertical="center"/>
    </xf>
    <xf numFmtId="170" fontId="12" fillId="5" borderId="10" xfId="0" applyNumberFormat="1" applyFont="1" applyFill="1" applyBorder="1" applyAlignment="1">
      <alignment horizontal="center" vertical="center"/>
    </xf>
    <xf numFmtId="171" fontId="12" fillId="0" borderId="37" xfId="0" applyNumberFormat="1" applyFont="1" applyBorder="1" applyAlignment="1">
      <alignment horizontal="center" vertical="center"/>
    </xf>
    <xf numFmtId="172" fontId="12" fillId="5" borderId="10" xfId="0" quotePrefix="1" applyNumberFormat="1" applyFont="1" applyFill="1" applyBorder="1" applyAlignment="1">
      <alignment horizontal="center" vertical="center"/>
    </xf>
    <xf numFmtId="165" fontId="12" fillId="5" borderId="10" xfId="0" applyNumberFormat="1" applyFont="1" applyFill="1" applyBorder="1" applyAlignment="1">
      <alignment horizontal="center" vertical="center"/>
    </xf>
    <xf numFmtId="165" fontId="12" fillId="9" borderId="10" xfId="0" applyNumberFormat="1" applyFont="1" applyFill="1" applyBorder="1" applyAlignment="1">
      <alignment horizontal="center" vertical="center"/>
    </xf>
    <xf numFmtId="171" fontId="12" fillId="0" borderId="0" xfId="0" applyNumberFormat="1" applyFont="1" applyAlignment="1">
      <alignment horizontal="center" vertical="center"/>
    </xf>
    <xf numFmtId="0" fontId="12" fillId="0" borderId="0" xfId="0" applyFont="1"/>
    <xf numFmtId="177" fontId="1" fillId="0" borderId="1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5875717651733"/>
          <c:y val="4.6208292072235015E-2"/>
          <c:w val="0.68150929571882601"/>
          <c:h val="0.72049909468327267"/>
        </c:manualLayout>
      </c:layout>
      <c:scatterChart>
        <c:scatterStyle val="lineMarker"/>
        <c:varyColors val="0"/>
        <c:ser>
          <c:idx val="0"/>
          <c:order val="0"/>
          <c:tx>
            <c:v>20191023 - Ottawa (variable annealing time)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(test_data_ottawa!$J$2:$J$23,test_data_ottawa!$J$26,test_data_ottawa!$J$27)</c:f>
              <c:numCache>
                <c:formatCode>General</c:formatCode>
                <c:ptCount val="24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-15</c:v>
                </c:pt>
                <c:pt idx="23">
                  <c:v>-15</c:v>
                </c:pt>
              </c:numCache>
            </c:numRef>
          </c:xVal>
          <c:yVal>
            <c:numRef>
              <c:f>(test_data_ottawa!$R$2:$R$23,test_data_ottawa!$R$26,test_data_ottawa!$R$27)</c:f>
              <c:numCache>
                <c:formatCode>0.000;;</c:formatCode>
                <c:ptCount val="24"/>
                <c:pt idx="0">
                  <c:v>0.40499884607776249</c:v>
                </c:pt>
                <c:pt idx="1">
                  <c:v>0.42491212946517704</c:v>
                </c:pt>
                <c:pt idx="2">
                  <c:v>0.45839866428617776</c:v>
                </c:pt>
                <c:pt idx="5">
                  <c:v>0.30832442854065645</c:v>
                </c:pt>
                <c:pt idx="6">
                  <c:v>0.29303682568277817</c:v>
                </c:pt>
                <c:pt idx="7">
                  <c:v>0.310359047031941</c:v>
                </c:pt>
                <c:pt idx="8">
                  <c:v>0.30230453085580894</c:v>
                </c:pt>
                <c:pt idx="10">
                  <c:v>0.32335150488965442</c:v>
                </c:pt>
                <c:pt idx="11">
                  <c:v>0.1790218161770788</c:v>
                </c:pt>
                <c:pt idx="12">
                  <c:v>0.18189239815466038</c:v>
                </c:pt>
                <c:pt idx="13">
                  <c:v>0.18396004693910531</c:v>
                </c:pt>
                <c:pt idx="14">
                  <c:v>0.19200097660615342</c:v>
                </c:pt>
                <c:pt idx="18" formatCode="0.000;;;">
                  <c:v>0.32659466716933583</c:v>
                </c:pt>
                <c:pt idx="20" formatCode="0.000;;;">
                  <c:v>0.33147715828210106</c:v>
                </c:pt>
                <c:pt idx="21" formatCode="0.000;;;">
                  <c:v>0.38607200870529396</c:v>
                </c:pt>
                <c:pt idx="22">
                  <c:v>0.32109812182489805</c:v>
                </c:pt>
                <c:pt idx="23" formatCode="0.0000;;;">
                  <c:v>0.35992407255466446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5E43-898B-3BF68D2A4452}"/>
            </c:ext>
          </c:extLst>
        </c:ser>
        <c:ser>
          <c:idx val="1"/>
          <c:order val="1"/>
          <c:tx>
            <c:v>Before 20191022 - Toronto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(test_data_prelim!$F$4,test_data_prelim!$F$8:$F$10)</c:f>
              <c:numCache>
                <c:formatCode>General</c:formatCode>
                <c:ptCount val="4"/>
                <c:pt idx="0">
                  <c:v>-13</c:v>
                </c:pt>
                <c:pt idx="1">
                  <c:v>-13</c:v>
                </c:pt>
                <c:pt idx="2">
                  <c:v>-18</c:v>
                </c:pt>
                <c:pt idx="3">
                  <c:v>-18</c:v>
                </c:pt>
              </c:numCache>
            </c:numRef>
          </c:xVal>
          <c:yVal>
            <c:numRef>
              <c:f>(test_data_prelim!$N$4,test_data_prelim!$N$8,test_data_prelim!$N$9,test_data_prelim!$N$10)</c:f>
              <c:numCache>
                <c:formatCode>0.000;;</c:formatCode>
                <c:ptCount val="4"/>
                <c:pt idx="0" formatCode="0.0000">
                  <c:v>0.4430703844527436</c:v>
                </c:pt>
                <c:pt idx="1">
                  <c:v>1.5970940672994094E-2</c:v>
                </c:pt>
                <c:pt idx="2">
                  <c:v>0.22057537933265101</c:v>
                </c:pt>
                <c:pt idx="3">
                  <c:v>0.24566021901448964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3-1448-A3BD-F2D2F87CE6F0}"/>
            </c:ext>
          </c:extLst>
        </c:ser>
        <c:ser>
          <c:idx val="2"/>
          <c:order val="2"/>
          <c:tx>
            <c:v>20191102 - Ottawa (6hr anneal)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dPt>
            <c:idx val="1"/>
            <c:marker>
              <c:symbol val="plus"/>
              <c:size val="5"/>
              <c:spPr>
                <a:noFill/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B-0C43-AD62-105A6B8971BB}"/>
              </c:ext>
            </c:extLst>
          </c:dPt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test_data_ottawa!$J$28:$J$98</c:f>
              <c:numCache>
                <c:formatCode>General</c:formatCode>
                <c:ptCount val="71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-12.5</c:v>
                </c:pt>
                <c:pt idx="20">
                  <c:v>-12.5</c:v>
                </c:pt>
                <c:pt idx="21">
                  <c:v>-12.5</c:v>
                </c:pt>
                <c:pt idx="22">
                  <c:v>-12.5</c:v>
                </c:pt>
                <c:pt idx="23">
                  <c:v>-12.5</c:v>
                </c:pt>
                <c:pt idx="24">
                  <c:v>-12.5</c:v>
                </c:pt>
                <c:pt idx="25">
                  <c:v>-12.5</c:v>
                </c:pt>
                <c:pt idx="26">
                  <c:v>-7.5</c:v>
                </c:pt>
                <c:pt idx="27">
                  <c:v>-7.5</c:v>
                </c:pt>
                <c:pt idx="28">
                  <c:v>-7.5</c:v>
                </c:pt>
                <c:pt idx="29">
                  <c:v>-7.5</c:v>
                </c:pt>
                <c:pt idx="30">
                  <c:v>-7.5</c:v>
                </c:pt>
                <c:pt idx="31">
                  <c:v>-7.5</c:v>
                </c:pt>
                <c:pt idx="32">
                  <c:v>-7.5</c:v>
                </c:pt>
                <c:pt idx="33">
                  <c:v>-7.5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-22.5</c:v>
                </c:pt>
                <c:pt idx="57">
                  <c:v>-22.5</c:v>
                </c:pt>
                <c:pt idx="58">
                  <c:v>-22.5</c:v>
                </c:pt>
                <c:pt idx="59">
                  <c:v>-22.5</c:v>
                </c:pt>
                <c:pt idx="60">
                  <c:v>-22.5</c:v>
                </c:pt>
                <c:pt idx="61">
                  <c:v>-22.5</c:v>
                </c:pt>
                <c:pt idx="62">
                  <c:v>-22.5</c:v>
                </c:pt>
                <c:pt idx="63">
                  <c:v>-22.5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-24.6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</c:numCache>
            </c:numRef>
          </c:xVal>
          <c:yVal>
            <c:numRef>
              <c:f>test_data_ottawa!$R$28:$R$98</c:f>
              <c:numCache>
                <c:formatCode>0.000;;</c:formatCode>
                <c:ptCount val="71"/>
                <c:pt idx="1">
                  <c:v>0.35151191293966044</c:v>
                </c:pt>
                <c:pt idx="2">
                  <c:v>0.34543655397751788</c:v>
                </c:pt>
                <c:pt idx="11">
                  <c:v>0.4042397003539307</c:v>
                </c:pt>
                <c:pt idx="12">
                  <c:v>0.49606014400511839</c:v>
                </c:pt>
                <c:pt idx="13">
                  <c:v>0.51004831720485477</c:v>
                </c:pt>
                <c:pt idx="15">
                  <c:v>0.52312353055689975</c:v>
                </c:pt>
                <c:pt idx="16">
                  <c:v>0.51637186076689767</c:v>
                </c:pt>
                <c:pt idx="17">
                  <c:v>0.53347138013766515</c:v>
                </c:pt>
                <c:pt idx="18">
                  <c:v>0.52350028656121905</c:v>
                </c:pt>
                <c:pt idx="19" formatCode="0.000">
                  <c:v>0.40622121161857594</c:v>
                </c:pt>
                <c:pt idx="20" formatCode="0.000">
                  <c:v>0.43174804020001384</c:v>
                </c:pt>
                <c:pt idx="21" formatCode="0.000">
                  <c:v>0.57950982089981207</c:v>
                </c:pt>
                <c:pt idx="22" formatCode="0.000">
                  <c:v>0.53746887581735747</c:v>
                </c:pt>
                <c:pt idx="23" formatCode="0.000">
                  <c:v>0.63159275859538466</c:v>
                </c:pt>
                <c:pt idx="24" formatCode="0.000">
                  <c:v>0.56225904174586783</c:v>
                </c:pt>
                <c:pt idx="25" formatCode="0.000">
                  <c:v>0.58051477543869345</c:v>
                </c:pt>
                <c:pt idx="26">
                  <c:v>0.41300766251132826</c:v>
                </c:pt>
                <c:pt idx="28">
                  <c:v>0.40848065298974656</c:v>
                </c:pt>
                <c:pt idx="30">
                  <c:v>0.38131924287916524</c:v>
                </c:pt>
                <c:pt idx="31">
                  <c:v>0.37806618114893925</c:v>
                </c:pt>
                <c:pt idx="33">
                  <c:v>0.39341020502925017</c:v>
                </c:pt>
                <c:pt idx="35" formatCode="0.000">
                  <c:v>0.30480541614619672</c:v>
                </c:pt>
                <c:pt idx="36" formatCode="0.000">
                  <c:v>0.39638030387347561</c:v>
                </c:pt>
                <c:pt idx="37" formatCode="0.000">
                  <c:v>0.37199742938996083</c:v>
                </c:pt>
                <c:pt idx="38" formatCode="0.000">
                  <c:v>0.44687847901167055</c:v>
                </c:pt>
                <c:pt idx="40" formatCode="0.000">
                  <c:v>0.40828651066155525</c:v>
                </c:pt>
                <c:pt idx="41">
                  <c:v>0.2212645748876132</c:v>
                </c:pt>
                <c:pt idx="42">
                  <c:v>0.24632699718634232</c:v>
                </c:pt>
                <c:pt idx="43">
                  <c:v>0.26833647739189931</c:v>
                </c:pt>
                <c:pt idx="44">
                  <c:v>0.28011823395727958</c:v>
                </c:pt>
                <c:pt idx="45">
                  <c:v>0.2671455132718949</c:v>
                </c:pt>
                <c:pt idx="46">
                  <c:v>0.25146796266054611</c:v>
                </c:pt>
                <c:pt idx="47">
                  <c:v>0.2459791143914187</c:v>
                </c:pt>
                <c:pt idx="48">
                  <c:v>0.25318816000211147</c:v>
                </c:pt>
                <c:pt idx="49" formatCode="0.000">
                  <c:v>0.1716136740578206</c:v>
                </c:pt>
                <c:pt idx="51" formatCode="0.000">
                  <c:v>0.14648714755360714</c:v>
                </c:pt>
                <c:pt idx="52" formatCode="0.000">
                  <c:v>0.15121067959344056</c:v>
                </c:pt>
                <c:pt idx="53" formatCode="0.000">
                  <c:v>0.14894249758347047</c:v>
                </c:pt>
                <c:pt idx="54" formatCode="0.000">
                  <c:v>0.12496205560103998</c:v>
                </c:pt>
                <c:pt idx="55" formatCode="0.000">
                  <c:v>0.13218697455562933</c:v>
                </c:pt>
                <c:pt idx="57">
                  <c:v>0.65416831447949497</c:v>
                </c:pt>
                <c:pt idx="58">
                  <c:v>0.73412492474705082</c:v>
                </c:pt>
                <c:pt idx="62">
                  <c:v>0.65975563896492417</c:v>
                </c:pt>
                <c:pt idx="63">
                  <c:v>0.69380512060615496</c:v>
                </c:pt>
                <c:pt idx="67" formatCode="0.000">
                  <c:v>0.73041355974426914</c:v>
                </c:pt>
                <c:pt idx="69" formatCode="0.000">
                  <c:v>0.75986036080176655</c:v>
                </c:pt>
                <c:pt idx="70" formatCode="0.000">
                  <c:v>0.65239320123388445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0C43-AD62-105A6B89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2207"/>
        <c:axId val="1200739775"/>
      </c:scatterChart>
      <c:valAx>
        <c:axId val="1200652207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[degC]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0739775"/>
        <c:crosses val="autoZero"/>
        <c:crossBetween val="midCat"/>
        <c:majorUnit val="2.5"/>
        <c:minorUnit val="2.5"/>
      </c:valAx>
      <c:valAx>
        <c:axId val="120073977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0652207"/>
        <c:crosses val="autoZero"/>
        <c:crossBetween val="midCat"/>
        <c:majorUnit val="0.1"/>
        <c:minorUnit val="2.0000000000000004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09768656984129"/>
          <c:y val="0.29008899664786403"/>
          <c:w val="0.16444645554005602"/>
          <c:h val="0.18510172592062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57CAE1-2338-1E44-BECB-EEF7098E222D}">
  <sheetPr/>
  <sheetViews>
    <sheetView zoomScale="190" workbookViewId="0"/>
  </sheetViews>
  <pageMargins left="0.7" right="0.7" top="0.75" bottom="0.75" header="0.3" footer="0.3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4508F-121F-5D48-A36A-1388932E9E29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2</xdr:row>
      <xdr:rowOff>76200</xdr:rowOff>
    </xdr:from>
    <xdr:to>
      <xdr:col>3</xdr:col>
      <xdr:colOff>63500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81AEC-E8CC-9C4C-8F6E-C10B6F25B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457200"/>
          <a:ext cx="18288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E30B-A084-4734-963F-F3634BADD90F}">
  <dimension ref="A2:X35"/>
  <sheetViews>
    <sheetView zoomScale="85" zoomScaleNormal="85" workbookViewId="0">
      <selection activeCell="B21" sqref="B21"/>
    </sheetView>
  </sheetViews>
  <sheetFormatPr defaultColWidth="8.85546875" defaultRowHeight="15" x14ac:dyDescent="0.25"/>
  <cols>
    <col min="1" max="1" width="11.28515625" customWidth="1"/>
    <col min="3" max="18" width="8.85546875" customWidth="1"/>
  </cols>
  <sheetData>
    <row r="2" spans="2:24" x14ac:dyDescent="0.25">
      <c r="B2" s="2"/>
      <c r="D2" s="253" t="s">
        <v>0</v>
      </c>
      <c r="E2" s="254"/>
      <c r="F2" s="254"/>
      <c r="G2" s="255"/>
      <c r="H2" s="253" t="s">
        <v>1</v>
      </c>
      <c r="I2" s="254"/>
      <c r="J2" s="254"/>
      <c r="K2" s="255"/>
    </row>
    <row r="3" spans="2:24" x14ac:dyDescent="0.25">
      <c r="B3" s="4" t="s">
        <v>2</v>
      </c>
      <c r="C3" s="5" t="s">
        <v>3</v>
      </c>
      <c r="D3" s="6">
        <v>1</v>
      </c>
      <c r="E3" s="7">
        <v>2</v>
      </c>
      <c r="F3" s="7">
        <v>3</v>
      </c>
      <c r="G3" s="8" t="s">
        <v>4</v>
      </c>
      <c r="H3" s="6">
        <v>1</v>
      </c>
      <c r="I3" s="7">
        <v>2</v>
      </c>
      <c r="J3" s="7">
        <v>3</v>
      </c>
      <c r="K3" s="8" t="s">
        <v>4</v>
      </c>
      <c r="L3" s="6" t="s">
        <v>5</v>
      </c>
      <c r="N3" t="s">
        <v>6</v>
      </c>
      <c r="R3" s="83" t="s">
        <v>7</v>
      </c>
      <c r="S3" s="243" t="s">
        <v>8</v>
      </c>
      <c r="T3" s="243"/>
      <c r="U3" s="243"/>
      <c r="V3" s="243"/>
      <c r="W3" s="243"/>
      <c r="X3" s="243"/>
    </row>
    <row r="4" spans="2:24" x14ac:dyDescent="0.25">
      <c r="B4" s="3">
        <v>1</v>
      </c>
      <c r="C4">
        <v>0.29099999999999998</v>
      </c>
      <c r="D4">
        <v>95</v>
      </c>
      <c r="E4">
        <v>95</v>
      </c>
      <c r="F4">
        <v>95</v>
      </c>
      <c r="G4">
        <f>AVERAGE(D4:F4)</f>
        <v>95</v>
      </c>
      <c r="H4">
        <v>38</v>
      </c>
      <c r="I4">
        <v>38</v>
      </c>
      <c r="J4">
        <v>38</v>
      </c>
      <c r="K4">
        <f>AVERAGE(H4:J4)</f>
        <v>38</v>
      </c>
      <c r="L4" t="s">
        <v>9</v>
      </c>
      <c r="R4" s="80" t="s">
        <v>10</v>
      </c>
      <c r="S4" s="80">
        <v>1</v>
      </c>
      <c r="T4" s="80">
        <v>2</v>
      </c>
      <c r="U4" s="80">
        <v>3</v>
      </c>
      <c r="V4" s="80">
        <v>4</v>
      </c>
      <c r="W4" s="80">
        <v>5</v>
      </c>
      <c r="X4" s="80">
        <v>6</v>
      </c>
    </row>
    <row r="5" spans="2:24" x14ac:dyDescent="0.25">
      <c r="B5" s="3">
        <v>2</v>
      </c>
      <c r="C5">
        <v>0.29099999999999998</v>
      </c>
      <c r="D5">
        <v>95</v>
      </c>
      <c r="E5">
        <v>95</v>
      </c>
      <c r="F5">
        <v>95</v>
      </c>
      <c r="G5">
        <f>AVERAGE(D5:F5)</f>
        <v>95</v>
      </c>
      <c r="H5">
        <v>38</v>
      </c>
      <c r="I5">
        <v>38</v>
      </c>
      <c r="J5">
        <v>38</v>
      </c>
      <c r="K5">
        <f>AVERAGE(H5:J5)</f>
        <v>38</v>
      </c>
      <c r="L5" t="s">
        <v>11</v>
      </c>
      <c r="R5" s="80" t="s">
        <v>12</v>
      </c>
      <c r="S5" s="81"/>
      <c r="T5" s="82">
        <f>AVERAGE(99.72,99.93,100.03)</f>
        <v>99.893333333333331</v>
      </c>
      <c r="U5" s="82">
        <f>AVERAGE(100.23, 100.15,99.58)</f>
        <v>99.986666666666665</v>
      </c>
      <c r="V5" s="82">
        <f>AVERAGE(100.76,100.55,99.9)</f>
        <v>100.40333333333335</v>
      </c>
      <c r="W5" s="82">
        <f>AVERAGE(99.58,100.2,101.01)</f>
        <v>100.26333333333334</v>
      </c>
      <c r="X5" s="81"/>
    </row>
    <row r="6" spans="2:24" x14ac:dyDescent="0.25">
      <c r="B6" s="3" t="s">
        <v>13</v>
      </c>
      <c r="R6" s="80" t="s">
        <v>14</v>
      </c>
      <c r="S6" s="82">
        <f>AVERAGE(99.5,98.98,98.86)</f>
        <v>99.113333333333344</v>
      </c>
      <c r="T6" s="81"/>
      <c r="U6" s="82">
        <f>AVERAGE(99.25,99.48,99.28)</f>
        <v>99.336666666666659</v>
      </c>
      <c r="V6" s="82">
        <f>AVERAGE(98.84,99,98.54)</f>
        <v>98.793333333333337</v>
      </c>
      <c r="W6" s="81"/>
      <c r="X6" s="82">
        <f>AVERAGE(98.65,98.77,99.05)</f>
        <v>98.823333333333338</v>
      </c>
    </row>
    <row r="7" spans="2:24" x14ac:dyDescent="0.25">
      <c r="B7" s="3" t="s">
        <v>15</v>
      </c>
      <c r="R7" s="80" t="s">
        <v>16</v>
      </c>
      <c r="S7" s="82">
        <f>AVERAGE(99.89,100.11,100.65)</f>
        <v>100.21666666666665</v>
      </c>
      <c r="T7" s="82">
        <f>AVERAGE(100.42,100.78,101.41)</f>
        <v>100.87</v>
      </c>
      <c r="U7" s="81"/>
      <c r="V7" s="81"/>
      <c r="W7" s="82">
        <f>AVERAGE(100.97,100.3,99.85)</f>
        <v>100.37333333333333</v>
      </c>
      <c r="X7" s="82">
        <f>AVERAGE(101.42,101.46,101.12)</f>
        <v>101.33333333333333</v>
      </c>
    </row>
    <row r="8" spans="2:24" x14ac:dyDescent="0.25">
      <c r="B8" s="3" t="s">
        <v>17</v>
      </c>
      <c r="V8" s="32"/>
    </row>
    <row r="9" spans="2:24" x14ac:dyDescent="0.25">
      <c r="B9" s="3" t="s">
        <v>18</v>
      </c>
      <c r="V9" s="32"/>
    </row>
    <row r="10" spans="2:24" x14ac:dyDescent="0.25">
      <c r="B10" s="3" t="s">
        <v>19</v>
      </c>
      <c r="C10" s="31" t="s">
        <v>20</v>
      </c>
      <c r="D10">
        <v>95.49</v>
      </c>
      <c r="E10">
        <v>95.57</v>
      </c>
      <c r="F10" s="32">
        <v>95.6</v>
      </c>
      <c r="G10" s="32">
        <f>AVERAGE(D10:F10)</f>
        <v>95.553333333333327</v>
      </c>
      <c r="H10">
        <v>37.31</v>
      </c>
      <c r="I10">
        <v>37.299999999999997</v>
      </c>
      <c r="J10">
        <v>37.29</v>
      </c>
      <c r="K10" s="32">
        <f>AVERAGE(H10:J10)</f>
        <v>37.300000000000004</v>
      </c>
      <c r="L10" t="s">
        <v>21</v>
      </c>
      <c r="N10" s="33">
        <f>PI()*K10</f>
        <v>117.18140597889929</v>
      </c>
      <c r="V10" s="32"/>
    </row>
    <row r="11" spans="2:24" x14ac:dyDescent="0.25">
      <c r="B11" s="3" t="s">
        <v>22</v>
      </c>
      <c r="C11" s="31" t="s">
        <v>20</v>
      </c>
      <c r="D11">
        <v>94.88</v>
      </c>
      <c r="E11">
        <v>94.62</v>
      </c>
      <c r="F11">
        <v>94.68</v>
      </c>
      <c r="G11" s="32">
        <f t="shared" ref="G11:G15" si="0">AVERAGE(D11:F11)</f>
        <v>94.726666666666674</v>
      </c>
      <c r="H11">
        <v>37.32</v>
      </c>
      <c r="I11">
        <v>37.340000000000003</v>
      </c>
      <c r="J11">
        <v>37.32</v>
      </c>
      <c r="K11" s="32">
        <f t="shared" ref="K11:K15" si="1">AVERAGE(H11:J11)</f>
        <v>37.326666666666661</v>
      </c>
      <c r="L11" t="s">
        <v>21</v>
      </c>
      <c r="N11" s="33">
        <f t="shared" ref="N11:N15" si="2">PI()*K11</f>
        <v>117.26518178299499</v>
      </c>
    </row>
    <row r="12" spans="2:24" x14ac:dyDescent="0.25">
      <c r="B12" s="3" t="s">
        <v>23</v>
      </c>
      <c r="C12" s="31" t="s">
        <v>20</v>
      </c>
      <c r="D12">
        <v>94.28</v>
      </c>
      <c r="E12">
        <v>94.27</v>
      </c>
      <c r="F12">
        <v>94.28</v>
      </c>
      <c r="G12" s="32">
        <f t="shared" si="0"/>
        <v>94.276666666666685</v>
      </c>
      <c r="H12">
        <v>37.36</v>
      </c>
      <c r="I12">
        <v>37.32</v>
      </c>
      <c r="J12">
        <v>37.31</v>
      </c>
      <c r="K12" s="32">
        <f t="shared" si="1"/>
        <v>37.330000000000005</v>
      </c>
      <c r="L12" t="s">
        <v>21</v>
      </c>
      <c r="N12" s="33">
        <f t="shared" si="2"/>
        <v>117.27565375850699</v>
      </c>
    </row>
    <row r="13" spans="2:24" x14ac:dyDescent="0.25">
      <c r="B13" s="3" t="s">
        <v>24</v>
      </c>
      <c r="C13" s="31" t="s">
        <v>20</v>
      </c>
      <c r="D13">
        <v>94.65</v>
      </c>
      <c r="E13">
        <v>94.89</v>
      </c>
      <c r="F13">
        <v>94.59</v>
      </c>
      <c r="G13">
        <f t="shared" si="0"/>
        <v>94.71</v>
      </c>
      <c r="H13" s="32">
        <v>37.33</v>
      </c>
      <c r="I13" s="32">
        <v>37.299999999999997</v>
      </c>
      <c r="J13" s="32">
        <v>37.4</v>
      </c>
      <c r="K13" s="32">
        <f t="shared" si="1"/>
        <v>37.343333333333334</v>
      </c>
      <c r="L13" t="s">
        <v>21</v>
      </c>
      <c r="N13" s="33">
        <f t="shared" si="2"/>
        <v>117.31754166055484</v>
      </c>
    </row>
    <row r="14" spans="2:24" x14ac:dyDescent="0.25">
      <c r="B14" s="3" t="s">
        <v>25</v>
      </c>
      <c r="C14" s="31" t="s">
        <v>20</v>
      </c>
      <c r="D14">
        <v>97.84</v>
      </c>
      <c r="E14">
        <v>97.82</v>
      </c>
      <c r="F14">
        <v>97.89</v>
      </c>
      <c r="G14" s="32">
        <f t="shared" si="0"/>
        <v>97.850000000000009</v>
      </c>
      <c r="H14">
        <v>37.5</v>
      </c>
      <c r="I14">
        <v>37.47</v>
      </c>
      <c r="J14">
        <v>37.49</v>
      </c>
      <c r="K14" s="32">
        <f t="shared" si="1"/>
        <v>37.486666666666672</v>
      </c>
      <c r="L14" t="s">
        <v>21</v>
      </c>
      <c r="N14" s="33">
        <f t="shared" si="2"/>
        <v>117.76783660756939</v>
      </c>
    </row>
    <row r="15" spans="2:24" x14ac:dyDescent="0.25">
      <c r="B15" s="3" t="s">
        <v>26</v>
      </c>
      <c r="C15" s="31" t="s">
        <v>20</v>
      </c>
      <c r="D15">
        <v>98.39</v>
      </c>
      <c r="E15">
        <v>98.42</v>
      </c>
      <c r="F15">
        <v>98.37</v>
      </c>
      <c r="G15" s="32">
        <f t="shared" si="0"/>
        <v>98.393333333333331</v>
      </c>
      <c r="H15">
        <v>37.270000000000003</v>
      </c>
      <c r="I15">
        <v>37.36</v>
      </c>
      <c r="J15">
        <v>37.28</v>
      </c>
      <c r="K15" s="32">
        <f t="shared" si="1"/>
        <v>37.303333333333335</v>
      </c>
      <c r="L15" t="s">
        <v>21</v>
      </c>
      <c r="N15" s="33">
        <f t="shared" si="2"/>
        <v>117.19187795441125</v>
      </c>
    </row>
    <row r="16" spans="2:24" ht="15.75" thickBot="1" x14ac:dyDescent="0.3">
      <c r="B16" s="3"/>
    </row>
    <row r="17" spans="1:24" ht="15.75" thickBot="1" x14ac:dyDescent="0.3">
      <c r="B17" s="3"/>
      <c r="C17" s="250" t="s">
        <v>27</v>
      </c>
      <c r="D17" s="244"/>
      <c r="E17" s="244"/>
      <c r="F17" s="244"/>
      <c r="G17" s="244"/>
      <c r="H17" s="244"/>
      <c r="I17" s="244"/>
      <c r="J17" s="245"/>
      <c r="K17" s="250" t="s">
        <v>28</v>
      </c>
      <c r="L17" s="244"/>
      <c r="M17" s="244"/>
      <c r="N17" s="244"/>
      <c r="O17" s="244"/>
      <c r="P17" s="244"/>
      <c r="Q17" s="244"/>
      <c r="R17" s="245"/>
      <c r="S17" s="250" t="s">
        <v>29</v>
      </c>
      <c r="T17" s="245"/>
      <c r="U17" s="244" t="s">
        <v>30</v>
      </c>
      <c r="V17" s="245"/>
      <c r="W17" s="244" t="s">
        <v>31</v>
      </c>
      <c r="X17" s="245"/>
    </row>
    <row r="18" spans="1:24" ht="15.75" thickBot="1" x14ac:dyDescent="0.3">
      <c r="C18" s="256" t="s">
        <v>32</v>
      </c>
      <c r="D18" s="257"/>
      <c r="E18" s="257"/>
      <c r="F18" s="258"/>
      <c r="G18" s="251" t="s">
        <v>33</v>
      </c>
      <c r="H18" s="251"/>
      <c r="I18" s="251"/>
      <c r="J18" s="252"/>
      <c r="K18" s="256" t="s">
        <v>32</v>
      </c>
      <c r="L18" s="257"/>
      <c r="M18" s="257"/>
      <c r="N18" s="258"/>
      <c r="O18" s="251" t="s">
        <v>33</v>
      </c>
      <c r="P18" s="251"/>
      <c r="Q18" s="251"/>
      <c r="R18" s="252"/>
      <c r="S18" s="246" t="s">
        <v>32</v>
      </c>
      <c r="T18" s="248" t="s">
        <v>33</v>
      </c>
      <c r="U18" s="246" t="s">
        <v>32</v>
      </c>
      <c r="V18" s="248" t="s">
        <v>33</v>
      </c>
      <c r="W18" s="246" t="s">
        <v>32</v>
      </c>
      <c r="X18" s="248" t="s">
        <v>33</v>
      </c>
    </row>
    <row r="19" spans="1:24" ht="15.75" thickBot="1" x14ac:dyDescent="0.3">
      <c r="A19" s="41" t="s">
        <v>34</v>
      </c>
      <c r="B19" s="42" t="s">
        <v>35</v>
      </c>
      <c r="C19" s="61">
        <v>1</v>
      </c>
      <c r="D19" s="61">
        <v>2</v>
      </c>
      <c r="E19" s="61">
        <v>3</v>
      </c>
      <c r="F19" s="62" t="s">
        <v>36</v>
      </c>
      <c r="G19" s="35">
        <v>1</v>
      </c>
      <c r="H19" s="35">
        <v>2</v>
      </c>
      <c r="I19" s="35">
        <v>3</v>
      </c>
      <c r="J19" s="36" t="s">
        <v>36</v>
      </c>
      <c r="K19" s="61">
        <v>1</v>
      </c>
      <c r="L19" s="61">
        <v>2</v>
      </c>
      <c r="M19" s="61">
        <v>3</v>
      </c>
      <c r="N19" s="62" t="s">
        <v>36</v>
      </c>
      <c r="O19" s="35">
        <v>1</v>
      </c>
      <c r="P19" s="35">
        <v>2</v>
      </c>
      <c r="Q19" s="35">
        <v>3</v>
      </c>
      <c r="R19" s="36" t="s">
        <v>36</v>
      </c>
      <c r="S19" s="247"/>
      <c r="T19" s="249"/>
      <c r="U19" s="247"/>
      <c r="V19" s="249"/>
      <c r="W19" s="247"/>
      <c r="X19" s="249"/>
    </row>
    <row r="20" spans="1:24" x14ac:dyDescent="0.25">
      <c r="A20" s="37">
        <f>DATE(2019,10,23)</f>
        <v>43761</v>
      </c>
      <c r="B20" s="43">
        <v>1</v>
      </c>
      <c r="C20" s="53">
        <v>93.09</v>
      </c>
      <c r="D20" s="53">
        <v>93.03</v>
      </c>
      <c r="E20" s="53">
        <v>93.17</v>
      </c>
      <c r="F20" s="54">
        <f>AVERAGE(C20:E20)</f>
        <v>93.096666666666678</v>
      </c>
      <c r="G20" s="53">
        <v>92.98</v>
      </c>
      <c r="H20" s="53">
        <v>93.08</v>
      </c>
      <c r="I20" s="53">
        <v>93.09</v>
      </c>
      <c r="J20" s="54">
        <f>AVERAGE(G20:I20)</f>
        <v>93.05</v>
      </c>
      <c r="K20" s="53">
        <v>37.270000000000003</v>
      </c>
      <c r="L20" s="53">
        <v>37.29</v>
      </c>
      <c r="M20" s="53">
        <v>37.299999999999997</v>
      </c>
      <c r="N20" s="54">
        <f>AVERAGE(K20:M20)</f>
        <v>37.286666666666669</v>
      </c>
      <c r="O20" s="53">
        <v>37.26</v>
      </c>
      <c r="P20" s="53">
        <v>37.26</v>
      </c>
      <c r="Q20" s="53">
        <v>37.25</v>
      </c>
      <c r="R20" s="54">
        <f>AVERAGE(O20:Q20)</f>
        <v>37.256666666666668</v>
      </c>
      <c r="S20" s="63">
        <f>F20/N20</f>
        <v>2.4967816913999643</v>
      </c>
      <c r="T20" s="64">
        <f>J20/R20</f>
        <v>2.4975395902299362</v>
      </c>
      <c r="U20" s="63">
        <v>267.39999999999998</v>
      </c>
      <c r="V20" s="64">
        <v>266.2</v>
      </c>
      <c r="W20" s="47" t="s">
        <v>37</v>
      </c>
      <c r="X20" s="48" t="s">
        <v>37</v>
      </c>
    </row>
    <row r="21" spans="1:24" x14ac:dyDescent="0.25">
      <c r="A21" s="38">
        <f t="shared" ref="A21:A35" si="3">DATE(2019,10,23)</f>
        <v>43761</v>
      </c>
      <c r="B21" s="44">
        <v>2</v>
      </c>
      <c r="C21" s="55">
        <v>93.2</v>
      </c>
      <c r="D21" s="55">
        <v>93.18</v>
      </c>
      <c r="E21" s="55">
        <v>93.16</v>
      </c>
      <c r="F21" s="56">
        <f>AVERAGE(C21:E21)</f>
        <v>93.179999999999993</v>
      </c>
      <c r="G21" s="55">
        <v>92.79</v>
      </c>
      <c r="H21" s="55">
        <v>92.77</v>
      </c>
      <c r="I21" s="55">
        <v>92.72</v>
      </c>
      <c r="J21" s="56">
        <f>AVERAGE(G21:I21)</f>
        <v>92.759999999999991</v>
      </c>
      <c r="K21" s="55">
        <v>37.36</v>
      </c>
      <c r="L21" s="55">
        <v>37.35</v>
      </c>
      <c r="M21" s="55">
        <v>37.39</v>
      </c>
      <c r="N21" s="56">
        <f>AVERAGE(K21:M21)</f>
        <v>37.366666666666667</v>
      </c>
      <c r="O21" s="55">
        <v>37.19</v>
      </c>
      <c r="P21" s="55">
        <v>37.270000000000003</v>
      </c>
      <c r="Q21" s="55">
        <v>37.19</v>
      </c>
      <c r="R21" s="56">
        <f>AVERAGE(O21:Q21)</f>
        <v>37.216666666666669</v>
      </c>
      <c r="S21" s="65">
        <f t="shared" ref="S21:S34" si="4">F21/N21</f>
        <v>2.4936663693131131</v>
      </c>
      <c r="T21" s="66">
        <f t="shared" ref="T21:T34" si="5">J21/R21</f>
        <v>2.4924317062248091</v>
      </c>
      <c r="U21" s="65">
        <v>264.7</v>
      </c>
      <c r="V21" s="66">
        <v>264</v>
      </c>
      <c r="W21" s="49" t="s">
        <v>37</v>
      </c>
      <c r="X21" s="50" t="s">
        <v>37</v>
      </c>
    </row>
    <row r="22" spans="1:24" x14ac:dyDescent="0.25">
      <c r="A22" s="39">
        <f t="shared" si="3"/>
        <v>43761</v>
      </c>
      <c r="B22" s="45">
        <v>3</v>
      </c>
      <c r="C22" s="57">
        <v>94.61</v>
      </c>
      <c r="D22" s="57">
        <v>94.72</v>
      </c>
      <c r="E22" s="57">
        <v>94.69</v>
      </c>
      <c r="F22" s="58">
        <f t="shared" ref="F22:F34" si="6">AVERAGE(C22:E22)</f>
        <v>94.673333333333332</v>
      </c>
      <c r="G22" s="57">
        <v>95.63</v>
      </c>
      <c r="H22" s="57">
        <v>95.59</v>
      </c>
      <c r="I22" s="57">
        <v>95.43</v>
      </c>
      <c r="J22" s="58">
        <f t="shared" ref="J22:J34" si="7">AVERAGE(G22:I22)</f>
        <v>95.55</v>
      </c>
      <c r="K22" s="57">
        <v>37.380000000000003</v>
      </c>
      <c r="L22" s="57">
        <v>37.299999999999997</v>
      </c>
      <c r="M22" s="57">
        <v>37.44</v>
      </c>
      <c r="N22" s="58">
        <f t="shared" ref="N22:N34" si="8">AVERAGE(K22:M22)</f>
        <v>37.373333333333335</v>
      </c>
      <c r="O22" s="57">
        <v>37.33</v>
      </c>
      <c r="P22" s="57">
        <v>37.33</v>
      </c>
      <c r="Q22" s="57">
        <v>37.340000000000003</v>
      </c>
      <c r="R22" s="58">
        <f t="shared" ref="R22:R34" si="9">AVERAGE(O22:Q22)</f>
        <v>37.333333333333336</v>
      </c>
      <c r="S22" s="67">
        <f t="shared" si="4"/>
        <v>2.5331787370674275</v>
      </c>
      <c r="T22" s="68">
        <f t="shared" si="5"/>
        <v>2.5593749999999997</v>
      </c>
      <c r="U22" s="67">
        <v>275.8</v>
      </c>
      <c r="V22" s="68">
        <v>274.5</v>
      </c>
      <c r="W22" s="51" t="s">
        <v>37</v>
      </c>
      <c r="X22" s="52" t="s">
        <v>37</v>
      </c>
    </row>
    <row r="23" spans="1:24" x14ac:dyDescent="0.25">
      <c r="A23" s="38">
        <f t="shared" si="3"/>
        <v>43761</v>
      </c>
      <c r="B23" s="44">
        <v>4</v>
      </c>
      <c r="C23" s="55">
        <v>94.29</v>
      </c>
      <c r="D23" s="55">
        <v>94.24</v>
      </c>
      <c r="E23" s="55">
        <v>94.31</v>
      </c>
      <c r="F23" s="56">
        <f t="shared" si="6"/>
        <v>94.280000000000015</v>
      </c>
      <c r="G23" s="71">
        <v>94.54</v>
      </c>
      <c r="H23" s="55">
        <v>94.71</v>
      </c>
      <c r="I23" s="55">
        <v>94.7</v>
      </c>
      <c r="J23" s="56">
        <f t="shared" si="7"/>
        <v>94.649999999999991</v>
      </c>
      <c r="K23" s="55">
        <v>37.32</v>
      </c>
      <c r="L23" s="55">
        <v>37.33</v>
      </c>
      <c r="M23" s="55">
        <v>37.340000000000003</v>
      </c>
      <c r="N23" s="56">
        <f t="shared" si="8"/>
        <v>37.330000000000005</v>
      </c>
      <c r="O23" s="55">
        <v>37.369999999999997</v>
      </c>
      <c r="P23" s="55">
        <v>37.36</v>
      </c>
      <c r="Q23" s="55">
        <v>37.36</v>
      </c>
      <c r="R23" s="56">
        <f t="shared" si="9"/>
        <v>37.36333333333333</v>
      </c>
      <c r="S23" s="65">
        <f t="shared" si="4"/>
        <v>2.5255826413072597</v>
      </c>
      <c r="T23" s="66">
        <f t="shared" si="5"/>
        <v>2.5332322241056295</v>
      </c>
      <c r="U23" s="65">
        <v>269.8</v>
      </c>
      <c r="V23" s="66">
        <v>272.3</v>
      </c>
      <c r="W23" s="49" t="s">
        <v>37</v>
      </c>
      <c r="X23" s="50" t="s">
        <v>37</v>
      </c>
    </row>
    <row r="24" spans="1:24" x14ac:dyDescent="0.25">
      <c r="A24" s="39">
        <f t="shared" si="3"/>
        <v>43761</v>
      </c>
      <c r="B24" s="45">
        <v>5</v>
      </c>
      <c r="C24" s="57">
        <v>97.79</v>
      </c>
      <c r="D24" s="57">
        <v>97.84</v>
      </c>
      <c r="E24" s="57">
        <v>97.81</v>
      </c>
      <c r="F24" s="58">
        <f t="shared" si="6"/>
        <v>97.813333333333333</v>
      </c>
      <c r="G24" s="57">
        <v>98.38</v>
      </c>
      <c r="H24" s="57">
        <v>98.44</v>
      </c>
      <c r="I24" s="57">
        <v>98.39</v>
      </c>
      <c r="J24" s="58">
        <f t="shared" si="7"/>
        <v>98.403333333333322</v>
      </c>
      <c r="K24" s="57">
        <v>37.369999999999997</v>
      </c>
      <c r="L24" s="57">
        <v>37.4</v>
      </c>
      <c r="M24" s="57">
        <v>37.450000000000003</v>
      </c>
      <c r="N24" s="58">
        <f t="shared" si="8"/>
        <v>37.406666666666666</v>
      </c>
      <c r="O24" s="57">
        <v>37.28</v>
      </c>
      <c r="P24" s="57">
        <v>37.369999999999997</v>
      </c>
      <c r="Q24" s="57">
        <v>37.39</v>
      </c>
      <c r="R24" s="58">
        <f t="shared" si="9"/>
        <v>37.346666666666671</v>
      </c>
      <c r="S24" s="67">
        <f t="shared" si="4"/>
        <v>2.6148636606665479</v>
      </c>
      <c r="T24" s="68">
        <f t="shared" si="5"/>
        <v>2.6348625490896103</v>
      </c>
      <c r="U24" s="67">
        <v>279.89999999999998</v>
      </c>
      <c r="V24" s="68">
        <v>281</v>
      </c>
      <c r="W24" s="51" t="s">
        <v>37</v>
      </c>
      <c r="X24" s="52" t="s">
        <v>37</v>
      </c>
    </row>
    <row r="25" spans="1:24" x14ac:dyDescent="0.25">
      <c r="A25" s="38">
        <f t="shared" si="3"/>
        <v>43761</v>
      </c>
      <c r="B25" s="44">
        <v>6</v>
      </c>
      <c r="C25" s="55">
        <v>93.89</v>
      </c>
      <c r="D25" s="55">
        <v>93.95</v>
      </c>
      <c r="E25" s="55">
        <v>93.94</v>
      </c>
      <c r="F25" s="56">
        <f t="shared" si="6"/>
        <v>93.926666666666662</v>
      </c>
      <c r="G25" s="55">
        <v>93.25</v>
      </c>
      <c r="H25" s="55">
        <v>93.21</v>
      </c>
      <c r="I25" s="55">
        <v>93.27</v>
      </c>
      <c r="J25" s="56">
        <f t="shared" si="7"/>
        <v>93.243333333333325</v>
      </c>
      <c r="K25" s="55">
        <v>37.32</v>
      </c>
      <c r="L25" s="55">
        <v>37.369999999999997</v>
      </c>
      <c r="M25" s="55">
        <v>37.32</v>
      </c>
      <c r="N25" s="56">
        <f t="shared" si="8"/>
        <v>37.336666666666666</v>
      </c>
      <c r="O25" s="55">
        <v>37.24</v>
      </c>
      <c r="P25" s="55">
        <v>37.299999999999997</v>
      </c>
      <c r="Q25" s="55">
        <v>37.24</v>
      </c>
      <c r="R25" s="56">
        <f t="shared" si="9"/>
        <v>37.26</v>
      </c>
      <c r="S25" s="65">
        <f t="shared" si="4"/>
        <v>2.5156682439067941</v>
      </c>
      <c r="T25" s="66">
        <f t="shared" si="5"/>
        <v>2.5025049203793164</v>
      </c>
      <c r="U25" s="65">
        <v>271.10000000000002</v>
      </c>
      <c r="V25" s="66">
        <v>266.3</v>
      </c>
      <c r="W25" s="49" t="s">
        <v>37</v>
      </c>
      <c r="X25" s="50" t="s">
        <v>37</v>
      </c>
    </row>
    <row r="26" spans="1:24" x14ac:dyDescent="0.25">
      <c r="A26" s="39">
        <f t="shared" si="3"/>
        <v>43761</v>
      </c>
      <c r="B26" s="45">
        <v>7</v>
      </c>
      <c r="C26" s="57">
        <v>89.47</v>
      </c>
      <c r="D26" s="57">
        <v>89.31</v>
      </c>
      <c r="E26" s="57">
        <v>89.42</v>
      </c>
      <c r="F26" s="58">
        <f t="shared" si="6"/>
        <v>89.399999999999991</v>
      </c>
      <c r="G26" s="57">
        <v>91.74</v>
      </c>
      <c r="H26" s="57">
        <v>91.52</v>
      </c>
      <c r="I26" s="57">
        <v>91.56</v>
      </c>
      <c r="J26" s="58">
        <f t="shared" si="7"/>
        <v>91.606666666666669</v>
      </c>
      <c r="K26" s="57">
        <v>37.380000000000003</v>
      </c>
      <c r="L26" s="57">
        <v>37.29</v>
      </c>
      <c r="M26" s="57">
        <v>37.39</v>
      </c>
      <c r="N26" s="58">
        <f t="shared" si="8"/>
        <v>37.353333333333332</v>
      </c>
      <c r="O26" s="57">
        <v>37.35</v>
      </c>
      <c r="P26" s="57">
        <v>37.33</v>
      </c>
      <c r="Q26" s="57">
        <v>37.4</v>
      </c>
      <c r="R26" s="58">
        <f t="shared" si="9"/>
        <v>37.360000000000007</v>
      </c>
      <c r="S26" s="67">
        <f t="shared" si="4"/>
        <v>2.3933606996252008</v>
      </c>
      <c r="T26" s="68">
        <f t="shared" si="5"/>
        <v>2.4519985724482507</v>
      </c>
      <c r="U26" s="67">
        <v>254.4</v>
      </c>
      <c r="V26" s="68">
        <v>261.7</v>
      </c>
      <c r="W26" s="51" t="s">
        <v>37</v>
      </c>
      <c r="X26" s="52" t="s">
        <v>37</v>
      </c>
    </row>
    <row r="27" spans="1:24" x14ac:dyDescent="0.25">
      <c r="A27" s="38">
        <f t="shared" si="3"/>
        <v>43761</v>
      </c>
      <c r="B27" s="44">
        <v>8</v>
      </c>
      <c r="C27" s="55">
        <v>90.7</v>
      </c>
      <c r="D27" s="55">
        <v>90.67</v>
      </c>
      <c r="E27" s="55">
        <v>90.72</v>
      </c>
      <c r="F27" s="56">
        <f t="shared" si="6"/>
        <v>90.696666666666673</v>
      </c>
      <c r="G27" s="55">
        <v>89.36</v>
      </c>
      <c r="H27" s="55">
        <v>89.52</v>
      </c>
      <c r="I27" s="55">
        <v>89.54</v>
      </c>
      <c r="J27" s="56">
        <f t="shared" si="7"/>
        <v>89.473333333333343</v>
      </c>
      <c r="K27" s="55">
        <v>37.36</v>
      </c>
      <c r="L27" s="55">
        <v>37.35</v>
      </c>
      <c r="M27" s="55">
        <v>37.33</v>
      </c>
      <c r="N27" s="56">
        <f t="shared" si="8"/>
        <v>37.346666666666671</v>
      </c>
      <c r="O27" s="55">
        <v>37.35</v>
      </c>
      <c r="P27" s="55">
        <v>37.36</v>
      </c>
      <c r="Q27" s="55">
        <v>37.369999999999997</v>
      </c>
      <c r="R27" s="56">
        <f t="shared" si="9"/>
        <v>37.360000000000007</v>
      </c>
      <c r="S27" s="65">
        <f t="shared" si="4"/>
        <v>2.4285076758300606</v>
      </c>
      <c r="T27" s="66">
        <f t="shared" si="5"/>
        <v>2.3948965024982156</v>
      </c>
      <c r="U27" s="65">
        <v>265.2</v>
      </c>
      <c r="V27" s="66">
        <v>263.60000000000002</v>
      </c>
      <c r="W27" s="49" t="s">
        <v>37</v>
      </c>
      <c r="X27" s="50" t="s">
        <v>37</v>
      </c>
    </row>
    <row r="28" spans="1:24" x14ac:dyDescent="0.25">
      <c r="A28" s="39">
        <f t="shared" si="3"/>
        <v>43761</v>
      </c>
      <c r="B28" s="45">
        <v>9</v>
      </c>
      <c r="C28" s="57">
        <v>83.23</v>
      </c>
      <c r="D28" s="57">
        <v>83.22</v>
      </c>
      <c r="E28" s="57">
        <v>83.06</v>
      </c>
      <c r="F28" s="58">
        <f t="shared" si="6"/>
        <v>83.17</v>
      </c>
      <c r="G28" s="57">
        <v>88.49</v>
      </c>
      <c r="H28" s="57">
        <v>88.36</v>
      </c>
      <c r="I28" s="57">
        <v>88.6</v>
      </c>
      <c r="J28" s="58">
        <f t="shared" si="7"/>
        <v>88.483333333333334</v>
      </c>
      <c r="K28" s="57">
        <v>37.36</v>
      </c>
      <c r="L28" s="57">
        <v>37.35</v>
      </c>
      <c r="M28" s="57">
        <v>37.36</v>
      </c>
      <c r="N28" s="58">
        <f t="shared" si="8"/>
        <v>37.356666666666669</v>
      </c>
      <c r="O28" s="57">
        <v>37.33</v>
      </c>
      <c r="P28" s="57">
        <v>37.369999999999997</v>
      </c>
      <c r="Q28" s="57">
        <v>37.340000000000003</v>
      </c>
      <c r="R28" s="58">
        <f t="shared" si="9"/>
        <v>37.346666666666664</v>
      </c>
      <c r="S28" s="67">
        <f t="shared" si="4"/>
        <v>2.2263763719104128</v>
      </c>
      <c r="T28" s="68">
        <f t="shared" si="5"/>
        <v>2.3692431274544807</v>
      </c>
      <c r="U28" s="67">
        <v>238.9</v>
      </c>
      <c r="V28" s="68">
        <v>259.3</v>
      </c>
      <c r="W28" s="51" t="s">
        <v>37</v>
      </c>
      <c r="X28" s="52" t="s">
        <v>37</v>
      </c>
    </row>
    <row r="29" spans="1:24" x14ac:dyDescent="0.25">
      <c r="A29" s="38">
        <f t="shared" si="3"/>
        <v>43761</v>
      </c>
      <c r="B29" s="44">
        <v>10</v>
      </c>
      <c r="C29" s="55">
        <v>100.01</v>
      </c>
      <c r="D29" s="55">
        <v>100.11</v>
      </c>
      <c r="E29" s="55">
        <v>100.08</v>
      </c>
      <c r="F29" s="56">
        <f t="shared" si="6"/>
        <v>100.06666666666666</v>
      </c>
      <c r="G29" s="55">
        <v>97.69</v>
      </c>
      <c r="H29" s="55">
        <v>97.71</v>
      </c>
      <c r="I29" s="55">
        <v>97.6</v>
      </c>
      <c r="J29" s="56">
        <f t="shared" si="7"/>
        <v>97.666666666666671</v>
      </c>
      <c r="K29" s="55">
        <v>37.35</v>
      </c>
      <c r="L29" s="55">
        <v>37.36</v>
      </c>
      <c r="M29" s="55">
        <v>37.340000000000003</v>
      </c>
      <c r="N29" s="56">
        <f t="shared" si="8"/>
        <v>37.35</v>
      </c>
      <c r="O29" s="55">
        <v>37.39</v>
      </c>
      <c r="P29" s="55">
        <v>37.33</v>
      </c>
      <c r="Q29" s="55">
        <v>37.380000000000003</v>
      </c>
      <c r="R29" s="56">
        <f t="shared" si="9"/>
        <v>37.366666666666667</v>
      </c>
      <c r="S29" s="65">
        <f t="shared" si="4"/>
        <v>2.6791610887996429</v>
      </c>
      <c r="T29" s="66">
        <f t="shared" si="5"/>
        <v>2.6137377341659236</v>
      </c>
      <c r="U29" s="65">
        <v>302.7</v>
      </c>
      <c r="V29" s="66">
        <v>282.10000000000002</v>
      </c>
      <c r="W29" s="49" t="s">
        <v>37</v>
      </c>
      <c r="X29" s="50" t="s">
        <v>37</v>
      </c>
    </row>
    <row r="30" spans="1:24" x14ac:dyDescent="0.25">
      <c r="A30" s="39">
        <f t="shared" si="3"/>
        <v>43761</v>
      </c>
      <c r="B30" s="45">
        <v>11</v>
      </c>
      <c r="C30" s="57">
        <v>102</v>
      </c>
      <c r="D30" s="57">
        <v>102.04</v>
      </c>
      <c r="E30" s="57">
        <v>102.02</v>
      </c>
      <c r="F30" s="58">
        <f t="shared" si="6"/>
        <v>102.02</v>
      </c>
      <c r="G30" s="57">
        <v>102.05</v>
      </c>
      <c r="H30" s="57">
        <v>102</v>
      </c>
      <c r="I30" s="57">
        <v>101.99</v>
      </c>
      <c r="J30" s="58">
        <f t="shared" si="7"/>
        <v>102.01333333333334</v>
      </c>
      <c r="K30" s="57">
        <v>37.42</v>
      </c>
      <c r="L30" s="57">
        <v>37.44</v>
      </c>
      <c r="M30" s="57">
        <v>37.409999999999997</v>
      </c>
      <c r="N30" s="58">
        <f t="shared" si="8"/>
        <v>37.423333333333332</v>
      </c>
      <c r="O30" s="57">
        <v>37.39</v>
      </c>
      <c r="P30" s="57">
        <v>37.380000000000003</v>
      </c>
      <c r="Q30" s="57">
        <v>37.44</v>
      </c>
      <c r="R30" s="58">
        <f t="shared" si="9"/>
        <v>37.403333333333336</v>
      </c>
      <c r="S30" s="67">
        <f t="shared" si="4"/>
        <v>2.7261067070455152</v>
      </c>
      <c r="T30" s="68">
        <f t="shared" si="5"/>
        <v>2.7273861509669368</v>
      </c>
      <c r="U30" s="67">
        <v>293.7</v>
      </c>
      <c r="V30" s="68">
        <v>288.8</v>
      </c>
      <c r="W30" s="51" t="s">
        <v>37</v>
      </c>
      <c r="X30" s="52" t="s">
        <v>37</v>
      </c>
    </row>
    <row r="31" spans="1:24" x14ac:dyDescent="0.25">
      <c r="A31" s="38">
        <f t="shared" si="3"/>
        <v>43761</v>
      </c>
      <c r="B31" s="44">
        <v>12</v>
      </c>
      <c r="C31" s="55">
        <v>90.5</v>
      </c>
      <c r="D31" s="55">
        <v>90.54</v>
      </c>
      <c r="E31" s="55">
        <v>90.51</v>
      </c>
      <c r="F31" s="56">
        <f t="shared" si="6"/>
        <v>90.516666666666666</v>
      </c>
      <c r="G31" s="55">
        <v>89.8</v>
      </c>
      <c r="H31" s="55">
        <v>89.89</v>
      </c>
      <c r="I31" s="55">
        <v>89.87</v>
      </c>
      <c r="J31" s="56">
        <f t="shared" si="7"/>
        <v>89.853333333333339</v>
      </c>
      <c r="K31" s="55">
        <v>37.369999999999997</v>
      </c>
      <c r="L31" s="55">
        <v>37.369999999999997</v>
      </c>
      <c r="M31" s="55">
        <v>37.39</v>
      </c>
      <c r="N31" s="56">
        <f t="shared" si="8"/>
        <v>37.376666666666665</v>
      </c>
      <c r="O31" s="55">
        <v>37.32</v>
      </c>
      <c r="P31" s="55">
        <v>37.340000000000003</v>
      </c>
      <c r="Q31" s="55">
        <v>37.369999999999997</v>
      </c>
      <c r="R31" s="56">
        <f t="shared" si="9"/>
        <v>37.343333333333334</v>
      </c>
      <c r="S31" s="65">
        <f t="shared" si="4"/>
        <v>2.4217426201730134</v>
      </c>
      <c r="T31" s="66">
        <f t="shared" si="5"/>
        <v>2.4061412121753105</v>
      </c>
      <c r="U31" s="65">
        <v>261</v>
      </c>
      <c r="V31" s="66">
        <v>260.60000000000002</v>
      </c>
      <c r="W31" s="49" t="s">
        <v>37</v>
      </c>
      <c r="X31" s="50" t="s">
        <v>37</v>
      </c>
    </row>
    <row r="32" spans="1:24" x14ac:dyDescent="0.25">
      <c r="A32" s="39">
        <f t="shared" si="3"/>
        <v>43761</v>
      </c>
      <c r="B32" s="45">
        <v>13</v>
      </c>
      <c r="C32" s="57">
        <v>96.21</v>
      </c>
      <c r="D32" s="57">
        <v>96.21</v>
      </c>
      <c r="E32" s="57">
        <v>96.11</v>
      </c>
      <c r="F32" s="58">
        <f t="shared" si="6"/>
        <v>96.176666666666662</v>
      </c>
      <c r="G32" s="57">
        <v>94.93</v>
      </c>
      <c r="H32" s="57">
        <v>94.99</v>
      </c>
      <c r="I32" s="57">
        <v>94.94</v>
      </c>
      <c r="J32" s="58">
        <f t="shared" si="7"/>
        <v>94.953333333333333</v>
      </c>
      <c r="K32" s="57">
        <v>37.4</v>
      </c>
      <c r="L32" s="57">
        <v>37.409999999999997</v>
      </c>
      <c r="M32" s="57">
        <v>37.369999999999997</v>
      </c>
      <c r="N32" s="58">
        <f t="shared" si="8"/>
        <v>37.393333333333338</v>
      </c>
      <c r="O32" s="57">
        <v>37.28</v>
      </c>
      <c r="P32" s="57">
        <v>37.39</v>
      </c>
      <c r="Q32" s="57">
        <v>37.32</v>
      </c>
      <c r="R32" s="58">
        <f t="shared" si="9"/>
        <v>37.330000000000005</v>
      </c>
      <c r="S32" s="67">
        <f t="shared" si="4"/>
        <v>2.5720270993046883</v>
      </c>
      <c r="T32" s="68">
        <f t="shared" si="5"/>
        <v>2.5436199660683987</v>
      </c>
      <c r="U32" s="67">
        <v>272.2</v>
      </c>
      <c r="V32" s="68">
        <v>273</v>
      </c>
      <c r="W32" s="51" t="s">
        <v>37</v>
      </c>
      <c r="X32" s="52" t="s">
        <v>37</v>
      </c>
    </row>
    <row r="33" spans="1:24" x14ac:dyDescent="0.25">
      <c r="A33" s="38">
        <f t="shared" si="3"/>
        <v>43761</v>
      </c>
      <c r="B33" s="44">
        <v>14</v>
      </c>
      <c r="C33" s="55">
        <v>96.58</v>
      </c>
      <c r="D33" s="55">
        <v>96.48</v>
      </c>
      <c r="E33" s="55">
        <v>96.5</v>
      </c>
      <c r="F33" s="56">
        <f t="shared" si="6"/>
        <v>96.52</v>
      </c>
      <c r="G33" s="55">
        <v>97.35</v>
      </c>
      <c r="H33" s="55">
        <v>97.29</v>
      </c>
      <c r="I33" s="55">
        <v>97.34</v>
      </c>
      <c r="J33" s="56">
        <f t="shared" si="7"/>
        <v>97.326666666666668</v>
      </c>
      <c r="K33" s="55">
        <v>37.26</v>
      </c>
      <c r="L33" s="55">
        <v>37.21</v>
      </c>
      <c r="M33" s="55">
        <v>37.19</v>
      </c>
      <c r="N33" s="56">
        <f t="shared" si="8"/>
        <v>37.22</v>
      </c>
      <c r="O33" s="55">
        <v>37.229999999999997</v>
      </c>
      <c r="P33" s="55">
        <v>37.32</v>
      </c>
      <c r="Q33" s="55">
        <v>37.26</v>
      </c>
      <c r="R33" s="56">
        <f t="shared" si="9"/>
        <v>37.270000000000003</v>
      </c>
      <c r="S33" s="65">
        <f t="shared" si="4"/>
        <v>2.5932294465341212</v>
      </c>
      <c r="T33" s="66">
        <f t="shared" si="5"/>
        <v>2.611394329666398</v>
      </c>
      <c r="U33" s="65">
        <v>280.5</v>
      </c>
      <c r="V33" s="66">
        <v>284.7</v>
      </c>
      <c r="W33" s="49" t="s">
        <v>37</v>
      </c>
      <c r="X33" s="50" t="s">
        <v>37</v>
      </c>
    </row>
    <row r="34" spans="1:24" ht="15.75" thickBot="1" x14ac:dyDescent="0.3">
      <c r="A34" s="40">
        <f t="shared" si="3"/>
        <v>43761</v>
      </c>
      <c r="B34" s="46">
        <v>15</v>
      </c>
      <c r="C34" s="59">
        <v>98.81</v>
      </c>
      <c r="D34" s="59">
        <v>98.77</v>
      </c>
      <c r="E34" s="59">
        <v>98.82</v>
      </c>
      <c r="F34" s="60">
        <f t="shared" si="6"/>
        <v>98.8</v>
      </c>
      <c r="G34" s="59">
        <v>98.82</v>
      </c>
      <c r="H34" s="59">
        <v>98.78</v>
      </c>
      <c r="I34" s="59">
        <v>98.84</v>
      </c>
      <c r="J34" s="60">
        <f t="shared" si="7"/>
        <v>98.813333333333333</v>
      </c>
      <c r="K34" s="59">
        <v>37.36</v>
      </c>
      <c r="L34" s="59">
        <v>37.35</v>
      </c>
      <c r="M34" s="59">
        <v>37.409999999999997</v>
      </c>
      <c r="N34" s="60">
        <f t="shared" si="8"/>
        <v>37.373333333333335</v>
      </c>
      <c r="O34" s="59">
        <v>37.409999999999997</v>
      </c>
      <c r="P34" s="59">
        <v>37.380000000000003</v>
      </c>
      <c r="Q34" s="59">
        <v>37.46</v>
      </c>
      <c r="R34" s="60">
        <f t="shared" si="9"/>
        <v>37.416666666666664</v>
      </c>
      <c r="S34" s="69">
        <f t="shared" si="4"/>
        <v>2.6435961469853728</v>
      </c>
      <c r="T34" s="70">
        <f t="shared" si="5"/>
        <v>2.6408908685968822</v>
      </c>
      <c r="U34" s="69">
        <v>287.2</v>
      </c>
      <c r="V34" s="70">
        <v>285.60000000000002</v>
      </c>
      <c r="W34" s="51" t="s">
        <v>37</v>
      </c>
      <c r="X34" s="52" t="s">
        <v>37</v>
      </c>
    </row>
    <row r="35" spans="1:24" ht="15.75" thickBot="1" x14ac:dyDescent="0.3">
      <c r="A35" s="72">
        <f t="shared" si="3"/>
        <v>43761</v>
      </c>
      <c r="B35" s="73" t="s">
        <v>38</v>
      </c>
      <c r="C35" s="74">
        <v>97.23</v>
      </c>
      <c r="D35" s="74">
        <v>97.45</v>
      </c>
      <c r="E35" s="74">
        <v>97.41</v>
      </c>
      <c r="F35" s="75">
        <f t="shared" ref="F35" si="10">AVERAGE(C35:E35)</f>
        <v>97.363333333333344</v>
      </c>
      <c r="G35" s="74" t="s">
        <v>39</v>
      </c>
      <c r="H35" s="74" t="s">
        <v>39</v>
      </c>
      <c r="I35" s="74" t="s">
        <v>39</v>
      </c>
      <c r="J35" s="75" t="s">
        <v>39</v>
      </c>
      <c r="K35" s="74">
        <v>37.21</v>
      </c>
      <c r="L35" s="74">
        <v>37.26</v>
      </c>
      <c r="M35" s="74">
        <v>37.18</v>
      </c>
      <c r="N35" s="75">
        <f t="shared" ref="N35" si="11">AVERAGE(K35:M35)</f>
        <v>37.216666666666669</v>
      </c>
      <c r="O35" s="74" t="s">
        <v>39</v>
      </c>
      <c r="P35" s="74" t="s">
        <v>39</v>
      </c>
      <c r="Q35" s="74" t="s">
        <v>39</v>
      </c>
      <c r="R35" s="75" t="s">
        <v>39</v>
      </c>
      <c r="S35" s="76">
        <f t="shared" ref="S35" si="12">F35/N35</f>
        <v>2.6161218092252576</v>
      </c>
      <c r="T35" s="77" t="s">
        <v>39</v>
      </c>
      <c r="U35" s="76">
        <v>283.2</v>
      </c>
      <c r="V35" s="77" t="s">
        <v>39</v>
      </c>
      <c r="W35" s="78"/>
      <c r="X35" s="79"/>
    </row>
  </sheetData>
  <mergeCells count="18">
    <mergeCell ref="D2:G2"/>
    <mergeCell ref="H2:K2"/>
    <mergeCell ref="C18:F18"/>
    <mergeCell ref="G18:J18"/>
    <mergeCell ref="K18:N18"/>
    <mergeCell ref="O18:R18"/>
    <mergeCell ref="C17:J17"/>
    <mergeCell ref="U17:V17"/>
    <mergeCell ref="U18:U19"/>
    <mergeCell ref="V18:V19"/>
    <mergeCell ref="K17:R17"/>
    <mergeCell ref="S3:X3"/>
    <mergeCell ref="W17:X17"/>
    <mergeCell ref="W18:W19"/>
    <mergeCell ref="X18:X19"/>
    <mergeCell ref="S17:T17"/>
    <mergeCell ref="S18:S19"/>
    <mergeCell ref="T18:T19"/>
  </mergeCells>
  <phoneticPr fontId="6" type="noConversion"/>
  <pageMargins left="0.7" right="0.7" top="0.75" bottom="0.75" header="0.3" footer="0.3"/>
  <ignoredErrors>
    <ignoredError sqref="G4:G5 F20 F21:F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5"/>
  <sheetViews>
    <sheetView tabSelected="1" zoomScale="70" zoomScaleNormal="70" workbookViewId="0">
      <pane ySplit="1" topLeftCell="A2" activePane="bottomLeft" state="frozen"/>
      <selection pane="bottomLeft" activeCell="G2" sqref="G2"/>
    </sheetView>
  </sheetViews>
  <sheetFormatPr defaultColWidth="9.140625" defaultRowHeight="15" x14ac:dyDescent="0.25"/>
  <cols>
    <col min="1" max="1" width="11" style="1" customWidth="1"/>
    <col min="2" max="2" width="10" style="1" customWidth="1"/>
    <col min="3" max="3" width="9.140625" style="1" customWidth="1"/>
    <col min="4" max="4" width="10" style="1" customWidth="1"/>
    <col min="5" max="5" width="9.140625" style="1" customWidth="1"/>
    <col min="6" max="6" width="10" style="1" customWidth="1"/>
    <col min="7" max="7" width="9.140625" style="1" customWidth="1"/>
    <col min="8" max="8" width="13.85546875" style="1" bestFit="1" customWidth="1"/>
    <col min="9" max="9" width="13.42578125" style="1" customWidth="1"/>
    <col min="10" max="10" width="10.28515625" style="1" customWidth="1"/>
    <col min="11" max="11" width="12.140625" style="1" customWidth="1"/>
    <col min="12" max="12" width="13.140625" style="1" customWidth="1"/>
    <col min="13" max="13" width="12.140625" style="1" customWidth="1"/>
    <col min="14" max="14" width="12.42578125" style="1" customWidth="1"/>
    <col min="15" max="15" width="11.42578125" style="1" customWidth="1"/>
    <col min="16" max="16" width="11.42578125" customWidth="1"/>
    <col min="17" max="17" width="12.7109375" style="1" customWidth="1"/>
    <col min="18" max="18" width="15.28515625" style="327" bestFit="1" customWidth="1"/>
    <col min="19" max="19" width="13" style="1" customWidth="1"/>
    <col min="20" max="20" width="9.28515625" style="1" customWidth="1"/>
    <col min="21" max="21" width="12" style="1" customWidth="1"/>
    <col min="22" max="22" width="9.28515625" style="1" customWidth="1"/>
    <col min="23" max="29" width="16.42578125" style="1" customWidth="1"/>
    <col min="30" max="30" width="20.42578125" style="1" customWidth="1"/>
    <col min="31" max="16384" width="9.140625" style="1"/>
  </cols>
  <sheetData>
    <row r="1" spans="1:30" s="224" customFormat="1" x14ac:dyDescent="0.25">
      <c r="A1" s="224" t="s">
        <v>245</v>
      </c>
      <c r="B1" s="224" t="s">
        <v>242</v>
      </c>
      <c r="C1" s="224" t="s">
        <v>243</v>
      </c>
      <c r="D1" s="224" t="s">
        <v>260</v>
      </c>
      <c r="E1" s="224" t="s">
        <v>261</v>
      </c>
      <c r="F1" s="224" t="s">
        <v>262</v>
      </c>
      <c r="G1" s="224" t="s">
        <v>263</v>
      </c>
      <c r="H1" s="224" t="s">
        <v>246</v>
      </c>
      <c r="I1" s="224" t="s">
        <v>247</v>
      </c>
      <c r="J1" s="224" t="s">
        <v>248</v>
      </c>
      <c r="K1" s="224" t="s">
        <v>249</v>
      </c>
      <c r="L1" s="224" t="s">
        <v>250</v>
      </c>
      <c r="M1" s="224" t="s">
        <v>251</v>
      </c>
      <c r="N1" s="224" t="s">
        <v>252</v>
      </c>
      <c r="O1" s="224" t="s">
        <v>253</v>
      </c>
      <c r="P1" s="224" t="s">
        <v>254</v>
      </c>
      <c r="Q1" s="224" t="s">
        <v>255</v>
      </c>
      <c r="R1" s="314" t="s">
        <v>256</v>
      </c>
      <c r="S1" s="224" t="s">
        <v>257</v>
      </c>
      <c r="T1" s="224" t="s">
        <v>258</v>
      </c>
      <c r="U1" s="224" t="s">
        <v>259</v>
      </c>
      <c r="V1" s="224" t="s">
        <v>244</v>
      </c>
      <c r="W1" s="224" t="s">
        <v>5</v>
      </c>
    </row>
    <row r="2" spans="1:30" s="29" customFormat="1" ht="14.25" x14ac:dyDescent="0.25">
      <c r="A2" s="94">
        <v>1</v>
      </c>
      <c r="B2" s="94" t="s">
        <v>79</v>
      </c>
      <c r="C2" s="105" t="s">
        <v>80</v>
      </c>
      <c r="D2" s="328">
        <f>IF(B2="A"&amp;core_data!B34,core_data!F34,"X")</f>
        <v>98.8</v>
      </c>
      <c r="E2" s="328">
        <f>IF(C2="B"&amp;core_data!$B$34,core_data!$J$34,"X")</f>
        <v>98.813333333333333</v>
      </c>
      <c r="F2" s="328">
        <f>IF(B2="A"&amp;core_data!$B$34,core_data!$N$34,"X")</f>
        <v>37.373333333333335</v>
      </c>
      <c r="G2" s="328">
        <f>IF(C2="B"&amp;core_data!$B34,core_data!$R34,"X")</f>
        <v>37.416666666666664</v>
      </c>
      <c r="H2" s="106">
        <v>43762</v>
      </c>
      <c r="I2" s="107">
        <v>43763</v>
      </c>
      <c r="J2" s="108">
        <v>-15</v>
      </c>
      <c r="K2" s="109">
        <v>10</v>
      </c>
      <c r="L2" s="110">
        <f>PI()*(AVERAGE(core_data!N34/1000,core_data!R34/1000)/2)^2</f>
        <v>1.098289815755658E-3</v>
      </c>
      <c r="M2" s="111">
        <f>SUM(mass!$B$6:$F$6,mass!$K$6,mass!$L$6,mass!$M$6,mass!$O$6)</f>
        <v>44.934999999999988</v>
      </c>
      <c r="N2" s="111">
        <v>0.42259999999999998</v>
      </c>
      <c r="O2" s="112">
        <f t="shared" ref="O2:O16" si="0">N2+M2</f>
        <v>45.357599999999991</v>
      </c>
      <c r="P2" s="189">
        <f t="shared" ref="P2:P53" si="1">N2/O2</f>
        <v>9.3170714499885374E-3</v>
      </c>
      <c r="Q2" s="113">
        <f t="shared" ref="Q2:Q54" si="2">O2*9.80665</f>
        <v>444.80610803999986</v>
      </c>
      <c r="R2" s="315">
        <f>Q2/L2/1000000</f>
        <v>0.40499884607776249</v>
      </c>
      <c r="S2" s="108" t="s">
        <v>81</v>
      </c>
      <c r="T2" s="114" t="s">
        <v>82</v>
      </c>
      <c r="U2" s="225"/>
      <c r="V2" s="114" t="s">
        <v>33</v>
      </c>
      <c r="W2" s="266" t="s">
        <v>83</v>
      </c>
      <c r="X2" s="267"/>
      <c r="Y2" s="267"/>
      <c r="Z2" s="267"/>
      <c r="AA2" s="267"/>
      <c r="AB2" s="267"/>
      <c r="AC2" s="267"/>
      <c r="AD2" s="268"/>
    </row>
    <row r="3" spans="1:30" s="29" customFormat="1" ht="14.25" x14ac:dyDescent="0.25">
      <c r="A3" s="94">
        <v>2</v>
      </c>
      <c r="B3" s="94" t="s">
        <v>84</v>
      </c>
      <c r="C3" s="115" t="s">
        <v>85</v>
      </c>
      <c r="D3" s="328">
        <f>IF(B3="A"&amp;core_data!B29,core_data!F29,"X")</f>
        <v>100.06666666666666</v>
      </c>
      <c r="E3" s="328">
        <f>IF(C3="B"&amp;core_data!$B$29,core_data!$J$29,"X")</f>
        <v>97.666666666666671</v>
      </c>
      <c r="F3" s="328">
        <f>IF(B3="A"&amp;core_data!$B$29,core_data!$N$29,"X")</f>
        <v>37.35</v>
      </c>
      <c r="G3" s="328">
        <f>IF(C3="B"&amp;core_data!$B29,core_data!$R29,"X")</f>
        <v>37.366666666666667</v>
      </c>
      <c r="H3" s="102">
        <v>43762</v>
      </c>
      <c r="I3" s="103">
        <v>43763</v>
      </c>
      <c r="J3" s="116">
        <v>-15</v>
      </c>
      <c r="K3" s="117">
        <v>10</v>
      </c>
      <c r="L3" s="118">
        <f>PI()*(AVERAGE(core_data!N29/1000,core_data!R29/1000)/2)^2</f>
        <v>1.0961370742963708E-3</v>
      </c>
      <c r="M3" s="119">
        <f>SUM(mass!$B$6:$F$6,mass!$K$6,mass!$L$6,mass!$M$6,mass!$O$8)</f>
        <v>44.935199999999988</v>
      </c>
      <c r="N3" s="119">
        <f>0.9777+0.9585+0.6231</f>
        <v>2.5592999999999999</v>
      </c>
      <c r="O3" s="120">
        <f t="shared" si="0"/>
        <v>47.494499999999988</v>
      </c>
      <c r="P3" s="189">
        <f t="shared" si="1"/>
        <v>5.3886239459305825E-2</v>
      </c>
      <c r="Q3" s="121">
        <f t="shared" si="2"/>
        <v>465.76193842499987</v>
      </c>
      <c r="R3" s="316">
        <f>Q3/L3/1000000</f>
        <v>0.42491212946517704</v>
      </c>
      <c r="S3" s="116" t="s">
        <v>81</v>
      </c>
      <c r="T3" s="116" t="s">
        <v>77</v>
      </c>
      <c r="U3" s="226"/>
      <c r="V3" s="116" t="s">
        <v>33</v>
      </c>
      <c r="W3" s="269" t="s">
        <v>86</v>
      </c>
      <c r="X3" s="269"/>
      <c r="Y3" s="269"/>
      <c r="Z3" s="269"/>
      <c r="AA3" s="269"/>
      <c r="AB3" s="269"/>
      <c r="AC3" s="269"/>
      <c r="AD3" s="269"/>
    </row>
    <row r="4" spans="1:30" s="29" customFormat="1" ht="14.25" x14ac:dyDescent="0.25">
      <c r="A4" s="94">
        <v>3</v>
      </c>
      <c r="B4" s="94" t="s">
        <v>13</v>
      </c>
      <c r="C4" s="94" t="s">
        <v>17</v>
      </c>
      <c r="D4" s="328">
        <f>IF(B4="A0"&amp;core_data!B20,core_data!F20,"X")</f>
        <v>93.096666666666678</v>
      </c>
      <c r="E4" s="328">
        <f>IF(C4="B0"&amp;core_data!$B$20,core_data!$J$20,"X")</f>
        <v>93.05</v>
      </c>
      <c r="F4" s="328">
        <f>IF(B4="A0"&amp;core_data!$B20,core_data!$N20,"X")</f>
        <v>37.286666666666669</v>
      </c>
      <c r="G4" s="328">
        <f>IF(C4="B0"&amp;core_data!$B20,core_data!$R20,"X")</f>
        <v>37.256666666666668</v>
      </c>
      <c r="H4" s="95">
        <v>43762</v>
      </c>
      <c r="I4" s="95">
        <v>43763</v>
      </c>
      <c r="J4" s="96">
        <v>-15</v>
      </c>
      <c r="K4" s="97">
        <v>10</v>
      </c>
      <c r="L4" s="98">
        <f>PI()*(AVERAGE(core_data!N20/1000,core_data!R20/1000)/2)^2</f>
        <v>1.0910571713353939E-3</v>
      </c>
      <c r="M4" s="99">
        <f>mass!B6+mass!C6+mass!D6+mass!E6+mass!F6+mass!G8+mass!H8+mass!I8+mass!J8+mass!K6+mass!L6+mass!M6+mass!O8</f>
        <v>49.241899999999987</v>
      </c>
      <c r="N4" s="99">
        <f>0.9012+0.9827+0.953+0.9128+0.9043+1.01+0.4504</f>
        <v>6.1143999999999998</v>
      </c>
      <c r="O4" s="100">
        <v>51</v>
      </c>
      <c r="P4" s="189">
        <f t="shared" si="1"/>
        <v>0.11989019607843136</v>
      </c>
      <c r="Q4" s="101">
        <f t="shared" si="2"/>
        <v>500.13914999999997</v>
      </c>
      <c r="R4" s="317">
        <f>Q4/L4/1000000</f>
        <v>0.45839866428617776</v>
      </c>
      <c r="S4" s="96" t="s">
        <v>81</v>
      </c>
      <c r="T4" s="96" t="s">
        <v>77</v>
      </c>
      <c r="U4" s="227"/>
      <c r="V4" s="96" t="s">
        <v>33</v>
      </c>
      <c r="W4" s="265" t="s">
        <v>87</v>
      </c>
      <c r="X4" s="265"/>
      <c r="Y4" s="265"/>
      <c r="Z4" s="265"/>
      <c r="AA4" s="265"/>
      <c r="AB4" s="265"/>
      <c r="AC4" s="265"/>
      <c r="AD4" s="265"/>
    </row>
    <row r="5" spans="1:30" s="29" customFormat="1" x14ac:dyDescent="0.25">
      <c r="A5" s="122">
        <v>4</v>
      </c>
      <c r="B5" s="122" t="s">
        <v>13</v>
      </c>
      <c r="C5" s="122" t="s">
        <v>17</v>
      </c>
      <c r="D5" s="328">
        <f>IF(B5="A0"&amp;core_data!$B$20,core_data!$F$20,"X")</f>
        <v>93.096666666666678</v>
      </c>
      <c r="E5" s="328">
        <f>IF(C5="B0"&amp;core_data!$B$20,core_data!$J$20,"X")</f>
        <v>93.05</v>
      </c>
      <c r="F5" s="328">
        <f>IF(B5="A0"&amp;core_data!$B$20,core_data!$N$20,"X")</f>
        <v>37.286666666666669</v>
      </c>
      <c r="G5" s="328">
        <f>IF(C5="B0"&amp;core_data!$B$20,core_data!$R$20,"X")</f>
        <v>37.256666666666668</v>
      </c>
      <c r="H5" s="123">
        <v>43765</v>
      </c>
      <c r="I5" s="123">
        <v>43766</v>
      </c>
      <c r="J5" s="124">
        <v>-10</v>
      </c>
      <c r="K5" s="125">
        <v>10.02</v>
      </c>
      <c r="L5" s="126">
        <f>PI()*(AVERAGE(core_data!N20/1000,core_data!R20/1000)/2)^2</f>
        <v>1.0910571713353939E-3</v>
      </c>
      <c r="M5" s="135"/>
      <c r="N5" s="135"/>
      <c r="O5" s="133" t="s">
        <v>88</v>
      </c>
      <c r="P5" s="133"/>
      <c r="Q5" s="134" t="s">
        <v>88</v>
      </c>
      <c r="R5" s="318"/>
      <c r="S5" s="124" t="s">
        <v>81</v>
      </c>
      <c r="T5" s="124" t="s">
        <v>77</v>
      </c>
      <c r="U5" s="228"/>
      <c r="V5" s="124" t="s">
        <v>33</v>
      </c>
      <c r="W5" s="264" t="s">
        <v>89</v>
      </c>
      <c r="X5" s="264"/>
      <c r="Y5" s="264"/>
      <c r="Z5" s="264"/>
      <c r="AA5" s="264"/>
      <c r="AB5" s="264"/>
      <c r="AC5" s="264"/>
      <c r="AD5" s="264"/>
    </row>
    <row r="6" spans="1:30" s="29" customFormat="1" ht="14.25" x14ac:dyDescent="0.25">
      <c r="A6" s="122">
        <v>5</v>
      </c>
      <c r="B6" s="122" t="s">
        <v>15</v>
      </c>
      <c r="C6" s="122" t="s">
        <v>18</v>
      </c>
      <c r="D6" s="328">
        <f>IF(B6="A0"&amp;core_data!$B$21,core_data!$F$21,"X")</f>
        <v>93.179999999999993</v>
      </c>
      <c r="E6" s="328">
        <f>IF(C6="B0"&amp;core_data!$B$21,core_data!$J$21,"X")</f>
        <v>92.759999999999991</v>
      </c>
      <c r="F6" s="328">
        <f>IF(B6="A0"&amp;core_data!$B21,core_data!$N21,"X")</f>
        <v>37.366666666666667</v>
      </c>
      <c r="G6" s="328">
        <f>IF(C6="B0"&amp;core_data!$B21,core_data!$R21,"X")</f>
        <v>37.216666666666669</v>
      </c>
      <c r="H6" s="123">
        <v>43765</v>
      </c>
      <c r="I6" s="123">
        <v>43766</v>
      </c>
      <c r="J6" s="124">
        <v>-10</v>
      </c>
      <c r="K6" s="125">
        <v>10.029999999999999</v>
      </c>
      <c r="L6" s="126">
        <f>PI()*(AVERAGE(core_data!N21/1000,core_data!R21/1000)/2)^2</f>
        <v>1.0922284094365296E-3</v>
      </c>
      <c r="M6" s="135"/>
      <c r="N6" s="135"/>
      <c r="O6" s="133" t="s">
        <v>88</v>
      </c>
      <c r="P6" s="133"/>
      <c r="Q6" s="134" t="s">
        <v>88</v>
      </c>
      <c r="R6" s="318"/>
      <c r="S6" s="124" t="s">
        <v>81</v>
      </c>
      <c r="T6" s="124" t="s">
        <v>77</v>
      </c>
      <c r="U6" s="228"/>
      <c r="V6" s="124" t="s">
        <v>33</v>
      </c>
      <c r="W6" s="264" t="s">
        <v>90</v>
      </c>
      <c r="X6" s="264"/>
      <c r="Y6" s="264"/>
      <c r="Z6" s="264"/>
      <c r="AA6" s="264"/>
      <c r="AB6" s="264"/>
      <c r="AC6" s="264"/>
      <c r="AD6" s="264"/>
    </row>
    <row r="7" spans="1:30" s="29" customFormat="1" ht="14.25" x14ac:dyDescent="0.25">
      <c r="A7" s="122">
        <v>6</v>
      </c>
      <c r="B7" s="122" t="s">
        <v>91</v>
      </c>
      <c r="C7" s="122" t="s">
        <v>92</v>
      </c>
      <c r="D7" s="328">
        <f>IF(B7="A0"&amp;core_data!$B$22,core_data!$F$22,"X")</f>
        <v>94.673333333333332</v>
      </c>
      <c r="E7" s="328">
        <f>IF(C7="B0"&amp;core_data!$B$22,core_data!$J$22,"X")</f>
        <v>95.55</v>
      </c>
      <c r="F7" s="328">
        <f>IF(B7="A0"&amp;core_data!$B22,core_data!$N22,"X")</f>
        <v>37.373333333333335</v>
      </c>
      <c r="G7" s="328">
        <f>IF(C7="B0"&amp;core_data!$B22,core_data!$R22,"X")</f>
        <v>37.333333333333336</v>
      </c>
      <c r="H7" s="123">
        <v>43765</v>
      </c>
      <c r="I7" s="123">
        <v>43766</v>
      </c>
      <c r="J7" s="124">
        <v>-10</v>
      </c>
      <c r="K7" s="125">
        <v>10</v>
      </c>
      <c r="L7" s="126">
        <f>PI()*(AVERAGE(core_data!N22/1000,core_data!R22/1000)/2)^2</f>
        <v>1.0958436822674491E-3</v>
      </c>
      <c r="M7" s="130">
        <f>SUM(mass!$C$18:$E$18,mass!$K$18,mass!$N$18,mass!$O$18)</f>
        <v>31.918099999999999</v>
      </c>
      <c r="N7" s="130">
        <f>0.9594+0.8925+0.6837</f>
        <v>2.5356000000000001</v>
      </c>
      <c r="O7" s="131">
        <f t="shared" si="0"/>
        <v>34.453699999999998</v>
      </c>
      <c r="P7" s="190">
        <f t="shared" si="1"/>
        <v>7.3594418016062146E-2</v>
      </c>
      <c r="Q7" s="132">
        <f t="shared" si="2"/>
        <v>337.87537710499998</v>
      </c>
      <c r="R7" s="319">
        <f t="shared" ref="R7:R12" si="3">Q7/L7/1000000</f>
        <v>0.30832442854065645</v>
      </c>
      <c r="S7" s="124" t="s">
        <v>81</v>
      </c>
      <c r="T7" s="124" t="s">
        <v>77</v>
      </c>
      <c r="U7" s="228"/>
      <c r="V7" s="124" t="s">
        <v>33</v>
      </c>
      <c r="W7" s="264" t="s">
        <v>93</v>
      </c>
      <c r="X7" s="264"/>
      <c r="Y7" s="264"/>
      <c r="Z7" s="264"/>
      <c r="AA7" s="264"/>
      <c r="AB7" s="264"/>
      <c r="AC7" s="264"/>
      <c r="AD7" s="264"/>
    </row>
    <row r="8" spans="1:30" s="29" customFormat="1" ht="14.25" x14ac:dyDescent="0.25">
      <c r="A8" s="122">
        <v>7</v>
      </c>
      <c r="B8" s="122" t="s">
        <v>94</v>
      </c>
      <c r="C8" s="122" t="s">
        <v>95</v>
      </c>
      <c r="D8" s="328">
        <f>IF(B8="A0"&amp;core_data!$B$23,core_data!$F$23,"X")</f>
        <v>94.280000000000015</v>
      </c>
      <c r="E8" s="328">
        <f>IF(C8="B0"&amp;core_data!$B$23,core_data!$J$23,"X")</f>
        <v>94.649999999999991</v>
      </c>
      <c r="F8" s="328">
        <f>IF(B8="A0"&amp;core_data!$B23,core_data!$N23,"X")</f>
        <v>37.330000000000005</v>
      </c>
      <c r="G8" s="328">
        <f>IF(C8="B0"&amp;core_data!$B23,core_data!$R23,"X")</f>
        <v>37.36333333333333</v>
      </c>
      <c r="H8" s="123">
        <v>43765</v>
      </c>
      <c r="I8" s="123">
        <v>43766</v>
      </c>
      <c r="J8" s="124">
        <v>-10</v>
      </c>
      <c r="K8" s="125">
        <v>10.050000000000001</v>
      </c>
      <c r="L8" s="126">
        <f>PI()*(AVERAGE(core_data!N23/1000,core_data!R23/1000)/2)^2</f>
        <v>1.095452553982077E-3</v>
      </c>
      <c r="M8" s="130">
        <f>SUM(mass!$C$18:$E$18,mass!$K$18,mass!$N$18,mass!$O$18)</f>
        <v>31.918099999999999</v>
      </c>
      <c r="N8" s="130">
        <v>0.81559999999999999</v>
      </c>
      <c r="O8" s="131">
        <f t="shared" si="0"/>
        <v>32.733699999999999</v>
      </c>
      <c r="P8" s="190">
        <f t="shared" si="1"/>
        <v>2.4916217842773657E-2</v>
      </c>
      <c r="Q8" s="132">
        <f t="shared" si="2"/>
        <v>321.00793910499999</v>
      </c>
      <c r="R8" s="319">
        <f t="shared" si="3"/>
        <v>0.29303682568277817</v>
      </c>
      <c r="S8" s="124" t="s">
        <v>81</v>
      </c>
      <c r="T8" s="124" t="s">
        <v>77</v>
      </c>
      <c r="U8" s="228"/>
      <c r="V8" s="124" t="s">
        <v>33</v>
      </c>
      <c r="W8" s="264" t="s">
        <v>96</v>
      </c>
      <c r="X8" s="264"/>
      <c r="Y8" s="264"/>
      <c r="Z8" s="264"/>
      <c r="AA8" s="264"/>
      <c r="AB8" s="264"/>
      <c r="AC8" s="264"/>
      <c r="AD8" s="264"/>
    </row>
    <row r="9" spans="1:30" s="29" customFormat="1" ht="14.25" x14ac:dyDescent="0.25">
      <c r="A9" s="122">
        <v>9</v>
      </c>
      <c r="B9" s="122" t="s">
        <v>97</v>
      </c>
      <c r="C9" s="122" t="s">
        <v>98</v>
      </c>
      <c r="D9" s="328">
        <f>IF(B9="A0"&amp;core_data!$B$24,core_data!$F$24,"X")</f>
        <v>97.813333333333333</v>
      </c>
      <c r="E9" s="328">
        <f>IF(C9="B0"&amp;core_data!$B$24,core_data!$J$24,"X")</f>
        <v>98.403333333333322</v>
      </c>
      <c r="F9" s="328">
        <f>IF(B9="A0"&amp;core_data!$B24,core_data!$N24,"X")</f>
        <v>37.406666666666666</v>
      </c>
      <c r="G9" s="328">
        <f>IF(C9="B0"&amp;core_data!$B24,core_data!$R24,"X")</f>
        <v>37.346666666666671</v>
      </c>
      <c r="H9" s="123">
        <v>43766</v>
      </c>
      <c r="I9" s="123">
        <v>43767</v>
      </c>
      <c r="J9" s="124">
        <v>-10</v>
      </c>
      <c r="K9" s="125">
        <v>9.8699999999999992</v>
      </c>
      <c r="L9" s="126">
        <f>PI()*(AVERAGE(core_data!N24/1000,core_data!R24/1000)/2)^2</f>
        <v>1.0972131810449654E-3</v>
      </c>
      <c r="M9" s="130">
        <f>SUM(mass!$C$18:$E$18,mass!$K$18,mass!$N$18,mass!$O$18)</f>
        <v>31.918099999999999</v>
      </c>
      <c r="N9" s="130">
        <f>0.9718+0.9635+0.871</f>
        <v>2.8063000000000002</v>
      </c>
      <c r="O9" s="131">
        <f t="shared" si="0"/>
        <v>34.724400000000003</v>
      </c>
      <c r="P9" s="190">
        <f t="shared" si="1"/>
        <v>8.0816371197198505E-2</v>
      </c>
      <c r="Q9" s="132">
        <f t="shared" si="2"/>
        <v>340.53003726000003</v>
      </c>
      <c r="R9" s="319">
        <f t="shared" si="3"/>
        <v>0.310359047031941</v>
      </c>
      <c r="S9" s="124" t="s">
        <v>81</v>
      </c>
      <c r="T9" s="124" t="s">
        <v>77</v>
      </c>
      <c r="U9" s="228"/>
      <c r="V9" s="124" t="s">
        <v>33</v>
      </c>
      <c r="W9" s="264" t="s">
        <v>99</v>
      </c>
      <c r="X9" s="264"/>
      <c r="Y9" s="264"/>
      <c r="Z9" s="264"/>
      <c r="AA9" s="264"/>
      <c r="AB9" s="264"/>
      <c r="AC9" s="264"/>
      <c r="AD9" s="264"/>
    </row>
    <row r="10" spans="1:30" s="29" customFormat="1" ht="14.25" x14ac:dyDescent="0.25">
      <c r="A10" s="122">
        <v>10</v>
      </c>
      <c r="B10" s="122" t="s">
        <v>100</v>
      </c>
      <c r="C10" s="122" t="s">
        <v>101</v>
      </c>
      <c r="D10" s="328">
        <f>IF(B10="A0"&amp;core_data!$B$25,core_data!$F$25,"X")</f>
        <v>93.926666666666662</v>
      </c>
      <c r="E10" s="328">
        <f>IF(C10="B0"&amp;core_data!$B$25,core_data!$J$25,"X")</f>
        <v>93.243333333333325</v>
      </c>
      <c r="F10" s="328">
        <f>IF(B10="A0"&amp;core_data!$B25,core_data!$N25,"X")</f>
        <v>37.336666666666666</v>
      </c>
      <c r="G10" s="328">
        <f>IF(C10="B0"&amp;core_data!$B25,core_data!$R25,"X")</f>
        <v>37.26</v>
      </c>
      <c r="H10" s="123">
        <v>43766</v>
      </c>
      <c r="I10" s="123">
        <v>43767</v>
      </c>
      <c r="J10" s="124">
        <v>-10</v>
      </c>
      <c r="K10" s="125">
        <v>9.94</v>
      </c>
      <c r="L10" s="126">
        <f>PI()*(AVERAGE(core_data!N25/1000,core_data!R25/1000)/2)^2</f>
        <v>1.0926189617632485E-3</v>
      </c>
      <c r="M10" s="130">
        <f>SUM(mass!$C$18:$E$18,mass!$K$18,mass!$N$18,mass!$O$18)</f>
        <v>31.918099999999999</v>
      </c>
      <c r="N10" s="127">
        <f>0.9642+0.7993</f>
        <v>1.7635000000000001</v>
      </c>
      <c r="O10" s="128">
        <f t="shared" si="0"/>
        <v>33.681599999999996</v>
      </c>
      <c r="P10" s="190">
        <f t="shared" si="1"/>
        <v>5.2357963992209405E-2</v>
      </c>
      <c r="Q10" s="129">
        <f t="shared" si="2"/>
        <v>330.30366263999991</v>
      </c>
      <c r="R10" s="319">
        <f t="shared" si="3"/>
        <v>0.30230453085580894</v>
      </c>
      <c r="S10" s="124" t="s">
        <v>81</v>
      </c>
      <c r="T10" s="124" t="s">
        <v>77</v>
      </c>
      <c r="U10" s="228"/>
      <c r="V10" s="124" t="s">
        <v>33</v>
      </c>
      <c r="W10" s="264" t="s">
        <v>99</v>
      </c>
      <c r="X10" s="264"/>
      <c r="Y10" s="264"/>
      <c r="Z10" s="264"/>
      <c r="AA10" s="264"/>
      <c r="AB10" s="264"/>
      <c r="AC10" s="264"/>
      <c r="AD10" s="264"/>
    </row>
    <row r="11" spans="1:30" s="29" customFormat="1" ht="14.25" x14ac:dyDescent="0.25">
      <c r="A11" s="122">
        <v>11</v>
      </c>
      <c r="B11" s="122" t="s">
        <v>102</v>
      </c>
      <c r="C11" s="122" t="s">
        <v>103</v>
      </c>
      <c r="D11" s="328">
        <f>IF(B11="A0"&amp;core_data!$B$26,core_data!$F$26,"X")</f>
        <v>89.399999999999991</v>
      </c>
      <c r="E11" s="328">
        <f>IF(C11="B0"&amp;core_data!$B$26,core_data!$J$26,"X")</f>
        <v>91.606666666666669</v>
      </c>
      <c r="F11" s="328">
        <f>IF(B11="A0"&amp;core_data!$B26,core_data!$N26,"X")</f>
        <v>37.353333333333332</v>
      </c>
      <c r="G11" s="328">
        <f>IF(C11="B0"&amp;core_data!$B26,core_data!$R26,"X")</f>
        <v>37.360000000000007</v>
      </c>
      <c r="H11" s="123">
        <v>43766</v>
      </c>
      <c r="I11" s="123">
        <v>43767</v>
      </c>
      <c r="J11" s="124">
        <v>-10</v>
      </c>
      <c r="K11" s="125">
        <v>10.23</v>
      </c>
      <c r="L11" s="126">
        <f>PI()*(AVERAGE(core_data!N26/1000,core_data!R26/1000)/2)^2</f>
        <v>1.0960392725900734E-3</v>
      </c>
      <c r="M11" s="135"/>
      <c r="N11" s="135"/>
      <c r="O11" s="133" t="s">
        <v>88</v>
      </c>
      <c r="P11" s="191"/>
      <c r="Q11" s="134" t="s">
        <v>88</v>
      </c>
      <c r="R11" s="318"/>
      <c r="S11" s="124" t="s">
        <v>81</v>
      </c>
      <c r="T11" s="124" t="s">
        <v>77</v>
      </c>
      <c r="U11" s="228"/>
      <c r="V11" s="124" t="s">
        <v>33</v>
      </c>
      <c r="W11" s="264" t="s">
        <v>99</v>
      </c>
      <c r="X11" s="264"/>
      <c r="Y11" s="264"/>
      <c r="Z11" s="264"/>
      <c r="AA11" s="264"/>
      <c r="AB11" s="264"/>
      <c r="AC11" s="264"/>
      <c r="AD11" s="264"/>
    </row>
    <row r="12" spans="1:30" s="29" customFormat="1" ht="14.25" x14ac:dyDescent="0.25">
      <c r="A12" s="122">
        <v>12</v>
      </c>
      <c r="B12" s="122" t="s">
        <v>104</v>
      </c>
      <c r="C12" s="122" t="s">
        <v>105</v>
      </c>
      <c r="D12" s="328">
        <f>IF(B12="A0"&amp;core_data!$B$27,core_data!$F$27,"X")</f>
        <v>90.696666666666673</v>
      </c>
      <c r="E12" s="328">
        <f>IF(C12="B0"&amp;core_data!$B$27,core_data!$J$27,"X")</f>
        <v>89.473333333333343</v>
      </c>
      <c r="F12" s="328">
        <f>IF(B12="A0"&amp;core_data!$B27,core_data!$N27,"X")</f>
        <v>37.346666666666671</v>
      </c>
      <c r="G12" s="328">
        <f>IF(C12="B0"&amp;core_data!$B27,core_data!$R27,"X")</f>
        <v>37.360000000000007</v>
      </c>
      <c r="H12" s="123">
        <v>43766</v>
      </c>
      <c r="I12" s="123">
        <v>43767</v>
      </c>
      <c r="J12" s="124">
        <v>-10</v>
      </c>
      <c r="K12" s="125">
        <v>10.14</v>
      </c>
      <c r="L12" s="126">
        <f>PI()*(AVERAGE(core_data!N27/1000,core_data!R27/1000)/2)^2</f>
        <v>1.0958436822674491E-3</v>
      </c>
      <c r="M12" s="130">
        <f>SUM(mass!$C$18:$E$18,mass!$K$18,mass!$N$18,mass!$O$18)</f>
        <v>31.918099999999999</v>
      </c>
      <c r="N12" s="127">
        <f>0.9293+0.9359+0.9765+0.922+0.4511</f>
        <v>4.2148000000000003</v>
      </c>
      <c r="O12" s="128">
        <f t="shared" ref="O12" si="4">N12+M12</f>
        <v>36.132899999999999</v>
      </c>
      <c r="P12" s="190">
        <f t="shared" si="1"/>
        <v>0.11664715536256433</v>
      </c>
      <c r="Q12" s="129">
        <f t="shared" ref="Q12" si="5">O12*9.80665</f>
        <v>354.34270378499997</v>
      </c>
      <c r="R12" s="319">
        <f t="shared" si="3"/>
        <v>0.32335150488965442</v>
      </c>
      <c r="S12" s="124" t="s">
        <v>81</v>
      </c>
      <c r="T12" s="124" t="s">
        <v>77</v>
      </c>
      <c r="U12" s="228"/>
      <c r="V12" s="124" t="s">
        <v>33</v>
      </c>
      <c r="W12" s="264" t="s">
        <v>99</v>
      </c>
      <c r="X12" s="264"/>
      <c r="Y12" s="264"/>
      <c r="Z12" s="264"/>
      <c r="AA12" s="264"/>
      <c r="AB12" s="264"/>
      <c r="AC12" s="264"/>
      <c r="AD12" s="264"/>
    </row>
    <row r="13" spans="1:30" s="29" customFormat="1" ht="14.25" x14ac:dyDescent="0.25">
      <c r="A13" s="94">
        <v>13</v>
      </c>
      <c r="B13" s="94" t="s">
        <v>106</v>
      </c>
      <c r="C13" s="94" t="s">
        <v>107</v>
      </c>
      <c r="D13" s="328">
        <f>IF(B13="A0"&amp;core_data!$B$28,core_data!$F$28,"X")</f>
        <v>83.17</v>
      </c>
      <c r="E13" s="328">
        <f>IF(C13="B0"&amp;core_data!$B$28,core_data!$J$28,"X")</f>
        <v>88.483333333333334</v>
      </c>
      <c r="F13" s="328">
        <f>IF(B13="A0"&amp;core_data!$B28,core_data!$N28,"X")</f>
        <v>37.356666666666669</v>
      </c>
      <c r="G13" s="328">
        <f>IF(C13="B0"&amp;core_data!$B28,core_data!$R28,"X")</f>
        <v>37.346666666666664</v>
      </c>
      <c r="H13" s="95">
        <v>43767</v>
      </c>
      <c r="I13" s="95">
        <v>43768</v>
      </c>
      <c r="J13" s="96">
        <v>-5</v>
      </c>
      <c r="K13" s="96">
        <v>10.06</v>
      </c>
      <c r="L13" s="98">
        <f>PI()*(AVERAGE(core_data!N28/1000,core_data!R28/1000)/2)^2</f>
        <v>1.0957458936511216E-3</v>
      </c>
      <c r="M13" s="99">
        <f>SUM(mass!$C$18,mass!$G$18:$J$18,mass!$K$18,mass!$N$18,mass!$O$18)</f>
        <v>17.846100000000003</v>
      </c>
      <c r="N13" s="99">
        <f>1.0057+0.8198+0.3314</f>
        <v>2.1568999999999998</v>
      </c>
      <c r="O13" s="100">
        <f t="shared" si="0"/>
        <v>20.003000000000004</v>
      </c>
      <c r="P13" s="189">
        <f t="shared" si="1"/>
        <v>0.10782882567614854</v>
      </c>
      <c r="Q13" s="101">
        <f t="shared" si="2"/>
        <v>196.16241995000001</v>
      </c>
      <c r="R13" s="317">
        <f>Q13/L13/1000000</f>
        <v>0.1790218161770788</v>
      </c>
      <c r="S13" s="96" t="s">
        <v>81</v>
      </c>
      <c r="T13" s="96" t="s">
        <v>77</v>
      </c>
      <c r="U13" s="227"/>
      <c r="V13" s="96" t="s">
        <v>33</v>
      </c>
      <c r="W13" s="265" t="s">
        <v>99</v>
      </c>
      <c r="X13" s="265"/>
      <c r="Y13" s="265"/>
      <c r="Z13" s="265"/>
      <c r="AA13" s="265"/>
      <c r="AB13" s="265"/>
      <c r="AC13" s="265"/>
      <c r="AD13" s="265"/>
    </row>
    <row r="14" spans="1:30" s="29" customFormat="1" ht="14.25" x14ac:dyDescent="0.25">
      <c r="A14" s="94">
        <v>14</v>
      </c>
      <c r="B14" s="94" t="s">
        <v>84</v>
      </c>
      <c r="C14" s="94" t="s">
        <v>85</v>
      </c>
      <c r="D14" s="328">
        <f>IF(B14="A"&amp;core_data!$B$29,core_data!$F$29,"X")</f>
        <v>100.06666666666666</v>
      </c>
      <c r="E14" s="328">
        <f>IF(C14="B"&amp;core_data!$B$29,core_data!$J$29,"X")</f>
        <v>97.666666666666671</v>
      </c>
      <c r="F14" s="328">
        <f>IF(B14="A"&amp;core_data!$B29,core_data!$N29,"X")</f>
        <v>37.35</v>
      </c>
      <c r="G14" s="328">
        <f>IF(C14="B"&amp;core_data!$B29,core_data!$R29,"X")</f>
        <v>37.366666666666667</v>
      </c>
      <c r="H14" s="95">
        <v>43767</v>
      </c>
      <c r="I14" s="95">
        <v>43768</v>
      </c>
      <c r="J14" s="96">
        <v>-5</v>
      </c>
      <c r="K14" s="97">
        <v>9.9499999999999993</v>
      </c>
      <c r="L14" s="98">
        <f>PI()*(AVERAGE(core_data!N29/1000,core_data!R29/1000)/2)^2</f>
        <v>1.0961370742963708E-3</v>
      </c>
      <c r="M14" s="99">
        <f>SUM(mass!$C$18,mass!$G$18:$J$18,mass!$K$18,mass!$N$18,mass!$O$18)</f>
        <v>17.846100000000003</v>
      </c>
      <c r="N14" s="99">
        <f>0.9167+0.9469+0.6213</f>
        <v>2.4848999999999997</v>
      </c>
      <c r="O14" s="100">
        <f t="shared" si="0"/>
        <v>20.331000000000003</v>
      </c>
      <c r="P14" s="189">
        <f t="shared" si="1"/>
        <v>0.12222222222222219</v>
      </c>
      <c r="Q14" s="101">
        <f t="shared" si="2"/>
        <v>199.37900115000002</v>
      </c>
      <c r="R14" s="317">
        <f>Q14/L14/1000000</f>
        <v>0.18189239815466038</v>
      </c>
      <c r="S14" s="96" t="s">
        <v>81</v>
      </c>
      <c r="T14" s="96" t="s">
        <v>77</v>
      </c>
      <c r="U14" s="227"/>
      <c r="V14" s="96" t="s">
        <v>33</v>
      </c>
      <c r="W14" s="265" t="s">
        <v>99</v>
      </c>
      <c r="X14" s="265"/>
      <c r="Y14" s="265"/>
      <c r="Z14" s="265"/>
      <c r="AA14" s="265"/>
      <c r="AB14" s="265"/>
      <c r="AC14" s="265"/>
      <c r="AD14" s="265"/>
    </row>
    <row r="15" spans="1:30" s="29" customFormat="1" ht="14.25" x14ac:dyDescent="0.25">
      <c r="A15" s="94">
        <v>15</v>
      </c>
      <c r="B15" s="94" t="s">
        <v>108</v>
      </c>
      <c r="C15" s="94" t="s">
        <v>109</v>
      </c>
      <c r="D15" s="328">
        <f>IF(B15="A"&amp;core_data!$B$30,core_data!$F$30,"X")</f>
        <v>102.02</v>
      </c>
      <c r="E15" s="328">
        <f>IF(C15="B"&amp;core_data!$B$30,core_data!$J$30,"X")</f>
        <v>102.01333333333334</v>
      </c>
      <c r="F15" s="328">
        <f>IF(B15="A"&amp;core_data!$B30,core_data!$N30,"X")</f>
        <v>37.423333333333332</v>
      </c>
      <c r="G15" s="328">
        <f>IF(C15="B"&amp;core_data!$B30,core_data!$R30,"X")</f>
        <v>37.403333333333336</v>
      </c>
      <c r="H15" s="95">
        <v>43767</v>
      </c>
      <c r="I15" s="95">
        <v>43768</v>
      </c>
      <c r="J15" s="96">
        <v>-5</v>
      </c>
      <c r="K15" s="97">
        <v>9.86</v>
      </c>
      <c r="L15" s="98">
        <f>PI()*(AVERAGE(core_data!N30/1000,core_data!R30/1000)/2)^2</f>
        <v>1.0993669784284499E-3</v>
      </c>
      <c r="M15" s="99">
        <f>SUM(mass!$C$18,mass!$G$18:$J$18,mass!$K$18,mass!$N$18,mass!$O$18)</f>
        <v>17.846100000000003</v>
      </c>
      <c r="N15" s="99">
        <f>0.9253+0.952+0.8993</f>
        <v>2.7766000000000002</v>
      </c>
      <c r="O15" s="100">
        <f t="shared" si="0"/>
        <v>20.622700000000002</v>
      </c>
      <c r="P15" s="189">
        <f t="shared" si="1"/>
        <v>0.13463804448496075</v>
      </c>
      <c r="Q15" s="101">
        <f t="shared" si="2"/>
        <v>202.23960095500001</v>
      </c>
      <c r="R15" s="317">
        <f>Q15/L15/1000000</f>
        <v>0.18396004693910531</v>
      </c>
      <c r="S15" s="96" t="s">
        <v>81</v>
      </c>
      <c r="T15" s="96" t="s">
        <v>77</v>
      </c>
      <c r="U15" s="227"/>
      <c r="V15" s="96" t="s">
        <v>33</v>
      </c>
      <c r="W15" s="265" t="s">
        <v>99</v>
      </c>
      <c r="X15" s="265"/>
      <c r="Y15" s="265"/>
      <c r="Z15" s="265"/>
      <c r="AA15" s="265"/>
      <c r="AB15" s="265"/>
      <c r="AC15" s="265"/>
      <c r="AD15" s="265"/>
    </row>
    <row r="16" spans="1:30" s="29" customFormat="1" ht="14.25" x14ac:dyDescent="0.25">
      <c r="A16" s="94">
        <v>16</v>
      </c>
      <c r="B16" s="94" t="s">
        <v>110</v>
      </c>
      <c r="C16" s="94" t="s">
        <v>111</v>
      </c>
      <c r="D16" s="328">
        <f>IF(B16="A"&amp;core_data!$B$31,core_data!$F$31,"X")</f>
        <v>90.516666666666666</v>
      </c>
      <c r="E16" s="328">
        <f>IF(C16="B"&amp;core_data!$B$31,core_data!$J$31,"X")</f>
        <v>89.853333333333339</v>
      </c>
      <c r="F16" s="328">
        <f>IF(B16="A"&amp;core_data!$B31,core_data!$N31,"X")</f>
        <v>37.376666666666665</v>
      </c>
      <c r="G16" s="328">
        <f>IF(C16="B"&amp;core_data!$B31,core_data!$R31,"X")</f>
        <v>37.343333333333334</v>
      </c>
      <c r="H16" s="95">
        <v>43767</v>
      </c>
      <c r="I16" s="95">
        <v>43768</v>
      </c>
      <c r="J16" s="96">
        <v>-5</v>
      </c>
      <c r="K16" s="97">
        <v>10.09</v>
      </c>
      <c r="L16" s="98">
        <f>PI()*(AVERAGE(core_data!N31/1000,core_data!R31/1000)/2)^2</f>
        <v>1.0962348803659908E-3</v>
      </c>
      <c r="M16" s="99">
        <f>SUM(mass!$C$18,mass!$G$18:$J$18,mass!$K$18,mass!$N$18,mass!$O$18)</f>
        <v>17.846100000000003</v>
      </c>
      <c r="N16" s="99">
        <f>1.0001+0.9492+0.9459+0.7215</f>
        <v>3.6166999999999998</v>
      </c>
      <c r="O16" s="100">
        <f t="shared" si="0"/>
        <v>21.462800000000001</v>
      </c>
      <c r="P16" s="189">
        <f t="shared" si="1"/>
        <v>0.16851016642749314</v>
      </c>
      <c r="Q16" s="101">
        <f t="shared" si="2"/>
        <v>210.47816761999999</v>
      </c>
      <c r="R16" s="317">
        <f>Q16/L16/1000000</f>
        <v>0.19200097660615342</v>
      </c>
      <c r="S16" s="96" t="s">
        <v>81</v>
      </c>
      <c r="T16" s="96" t="s">
        <v>77</v>
      </c>
      <c r="U16" s="227"/>
      <c r="V16" s="96" t="s">
        <v>33</v>
      </c>
      <c r="W16" s="265" t="s">
        <v>99</v>
      </c>
      <c r="X16" s="265"/>
      <c r="Y16" s="265"/>
      <c r="Z16" s="265"/>
      <c r="AA16" s="265"/>
      <c r="AB16" s="265"/>
      <c r="AC16" s="265"/>
      <c r="AD16" s="265"/>
    </row>
    <row r="17" spans="1:30" s="160" customFormat="1" ht="14.25" x14ac:dyDescent="0.25">
      <c r="A17" s="122">
        <v>17</v>
      </c>
      <c r="B17" s="122" t="s">
        <v>112</v>
      </c>
      <c r="C17" s="122" t="s">
        <v>113</v>
      </c>
      <c r="D17" s="328">
        <f>IF(B17="A"&amp;core_data!$B$32,core_data!$F$32,"X")</f>
        <v>96.176666666666662</v>
      </c>
      <c r="E17" s="328">
        <f>IF(C17="B"&amp;core_data!$B$32,core_data!$J$32,"X")</f>
        <v>94.953333333333333</v>
      </c>
      <c r="F17" s="328">
        <f>IF(B17="A"&amp;core_data!$B32,core_data!$N32,"X")</f>
        <v>37.393333333333338</v>
      </c>
      <c r="G17" s="328">
        <f>IF(C17="B"&amp;core_data!$B32,core_data!$R32,"X")</f>
        <v>37.330000000000005</v>
      </c>
      <c r="H17" s="123">
        <v>43768</v>
      </c>
      <c r="I17" s="123">
        <v>43769</v>
      </c>
      <c r="J17" s="124">
        <v>-20</v>
      </c>
      <c r="K17" s="171"/>
      <c r="L17" s="126">
        <f>PI()*(AVERAGE(core_data!N32/1000,core_data!R32/1000)/2)^2</f>
        <v>1.0963326907989345E-3</v>
      </c>
      <c r="M17" s="135" t="s">
        <v>114</v>
      </c>
      <c r="N17" s="135"/>
      <c r="O17" s="133">
        <v>59.2</v>
      </c>
      <c r="P17" s="133"/>
      <c r="Q17" s="133">
        <f t="shared" si="2"/>
        <v>580.55367999999999</v>
      </c>
      <c r="R17" s="320"/>
      <c r="S17" s="124" t="s">
        <v>81</v>
      </c>
      <c r="T17" s="124"/>
      <c r="U17" s="228"/>
      <c r="V17" s="124" t="s">
        <v>33</v>
      </c>
      <c r="W17" s="264" t="s">
        <v>115</v>
      </c>
      <c r="X17" s="264"/>
      <c r="Y17" s="264"/>
      <c r="Z17" s="264"/>
      <c r="AA17" s="264"/>
      <c r="AB17" s="264"/>
      <c r="AC17" s="264"/>
      <c r="AD17" s="264"/>
    </row>
    <row r="18" spans="1:30" s="160" customFormat="1" ht="14.25" x14ac:dyDescent="0.25">
      <c r="A18" s="122">
        <v>18</v>
      </c>
      <c r="B18" s="122" t="s">
        <v>116</v>
      </c>
      <c r="C18" s="122" t="s">
        <v>117</v>
      </c>
      <c r="D18" s="328">
        <f>IF(B18="A"&amp;core_data!$B$33,core_data!$F$33,"X")</f>
        <v>96.52</v>
      </c>
      <c r="E18" s="328">
        <f>IF(C18="B"&amp;core_data!$B$33,core_data!$J$33,"X")</f>
        <v>97.326666666666668</v>
      </c>
      <c r="F18" s="328">
        <f>IF(B18="A"&amp;core_data!$B33,core_data!$N33,"X")</f>
        <v>37.22</v>
      </c>
      <c r="G18" s="328">
        <f>IF(C18="B"&amp;core_data!$B33,core_data!$R33,"X")</f>
        <v>37.270000000000003</v>
      </c>
      <c r="H18" s="123">
        <v>43768</v>
      </c>
      <c r="I18" s="123">
        <v>43769</v>
      </c>
      <c r="J18" s="124">
        <v>-20</v>
      </c>
      <c r="K18" s="125">
        <v>10.02</v>
      </c>
      <c r="L18" s="126">
        <f>PI()*(AVERAGE(core_data!N33/1000,core_data!R33/1000)/2)^2</f>
        <v>1.0894964979182604E-3</v>
      </c>
      <c r="M18" s="135" t="s">
        <v>118</v>
      </c>
      <c r="N18" s="135"/>
      <c r="O18" s="133">
        <v>49.3</v>
      </c>
      <c r="P18" s="133"/>
      <c r="Q18" s="133">
        <f t="shared" si="2"/>
        <v>483.46784499999995</v>
      </c>
      <c r="R18" s="320"/>
      <c r="S18" s="124" t="s">
        <v>81</v>
      </c>
      <c r="T18" s="124"/>
      <c r="U18" s="228"/>
      <c r="V18" s="124" t="s">
        <v>33</v>
      </c>
      <c r="W18" s="264" t="s">
        <v>115</v>
      </c>
      <c r="X18" s="264"/>
      <c r="Y18" s="264"/>
      <c r="Z18" s="264"/>
      <c r="AA18" s="264"/>
      <c r="AB18" s="264"/>
      <c r="AC18" s="264"/>
      <c r="AD18" s="264"/>
    </row>
    <row r="19" spans="1:30" s="161" customFormat="1" ht="14.25" x14ac:dyDescent="0.25">
      <c r="A19" s="122">
        <v>19</v>
      </c>
      <c r="B19" s="122" t="s">
        <v>79</v>
      </c>
      <c r="C19" s="122" t="s">
        <v>80</v>
      </c>
      <c r="D19" s="328">
        <f>IF(B19="A"&amp;core_data!$B$34,core_data!$F$34,"X")</f>
        <v>98.8</v>
      </c>
      <c r="E19" s="328">
        <f>IF(C19="B"&amp;core_data!$B$34,core_data!$J$34,"X")</f>
        <v>98.813333333333333</v>
      </c>
      <c r="F19" s="328">
        <f>IF(B19="A"&amp;core_data!$B34,core_data!$N34,"X")</f>
        <v>37.373333333333335</v>
      </c>
      <c r="G19" s="328">
        <f>IF(C19="B"&amp;core_data!$B34,core_data!$R34,"X")</f>
        <v>37.416666666666664</v>
      </c>
      <c r="H19" s="123">
        <v>43768</v>
      </c>
      <c r="I19" s="123">
        <v>43769</v>
      </c>
      <c r="J19" s="124">
        <v>-20</v>
      </c>
      <c r="K19" s="125">
        <v>10.06</v>
      </c>
      <c r="L19" s="126">
        <f>PI()*(AVERAGE(core_data!N34/1000,core_data!R34/1000)/2)^2</f>
        <v>1.098289815755658E-3</v>
      </c>
      <c r="M19" s="135" t="s">
        <v>119</v>
      </c>
      <c r="N19" s="135"/>
      <c r="O19" s="133">
        <v>41.37</v>
      </c>
      <c r="P19" s="133"/>
      <c r="Q19" s="133">
        <f t="shared" ref="Q19" si="6">O19*9.80665</f>
        <v>405.70111049999997</v>
      </c>
      <c r="R19" s="320"/>
      <c r="S19" s="124" t="s">
        <v>81</v>
      </c>
      <c r="T19" s="124"/>
      <c r="U19" s="228"/>
      <c r="V19" s="124" t="s">
        <v>33</v>
      </c>
      <c r="W19" s="264" t="s">
        <v>115</v>
      </c>
      <c r="X19" s="264"/>
      <c r="Y19" s="264"/>
      <c r="Z19" s="264"/>
      <c r="AA19" s="264"/>
      <c r="AB19" s="264"/>
      <c r="AC19" s="264"/>
      <c r="AD19" s="264"/>
    </row>
    <row r="20" spans="1:30" s="161" customFormat="1" ht="14.25" x14ac:dyDescent="0.25">
      <c r="A20" s="122">
        <v>20</v>
      </c>
      <c r="B20" s="122" t="s">
        <v>13</v>
      </c>
      <c r="C20" s="122" t="s">
        <v>17</v>
      </c>
      <c r="D20" s="328">
        <f>IF(B20="A0"&amp;core_data!$B$20,core_data!$F$20,"X")</f>
        <v>93.096666666666678</v>
      </c>
      <c r="E20" s="328">
        <f>IF(C20="B0"&amp;core_data!$B$20,core_data!$J$20,"X")</f>
        <v>93.05</v>
      </c>
      <c r="F20" s="328">
        <f>IF(B20="A0"&amp;core_data!$B20,core_data!$N20,"X")</f>
        <v>37.286666666666669</v>
      </c>
      <c r="G20" s="328">
        <f>IF(C20="B0"&amp;core_data!$B20,core_data!$R20,"X")</f>
        <v>37.256666666666668</v>
      </c>
      <c r="H20" s="123">
        <v>43768</v>
      </c>
      <c r="I20" s="123">
        <v>43769</v>
      </c>
      <c r="J20" s="124">
        <v>-20</v>
      </c>
      <c r="K20" s="125">
        <v>10.01</v>
      </c>
      <c r="L20" s="126">
        <f>PI()*(AVERAGE(core_data!N20/1000,core_data!R20/1000)/2)^2</f>
        <v>1.0910571713353939E-3</v>
      </c>
      <c r="M20" s="124">
        <f>SUM(mass!C18:E18,mass!K18,mass!N18,mass!O18,mass!B23)</f>
        <v>34.403100000000002</v>
      </c>
      <c r="N20" s="124">
        <f>0.9826+0.9502</f>
        <v>1.9328000000000001</v>
      </c>
      <c r="O20" s="128">
        <f t="shared" ref="O20" si="7">N20+M20</f>
        <v>36.335900000000002</v>
      </c>
      <c r="P20" s="190">
        <f t="shared" si="1"/>
        <v>5.3192572634777176E-2</v>
      </c>
      <c r="Q20" s="132">
        <f t="shared" si="2"/>
        <v>356.33345373499998</v>
      </c>
      <c r="R20" s="321">
        <f t="shared" ref="R20" si="8">Q20/L20/1000000</f>
        <v>0.32659466716933583</v>
      </c>
      <c r="S20" s="124" t="s">
        <v>81</v>
      </c>
      <c r="T20" s="124" t="s">
        <v>77</v>
      </c>
      <c r="U20" s="228"/>
      <c r="V20" s="124" t="s">
        <v>33</v>
      </c>
      <c r="W20" s="264" t="s">
        <v>120</v>
      </c>
      <c r="X20" s="264"/>
      <c r="Y20" s="264"/>
      <c r="Z20" s="264"/>
      <c r="AA20" s="264"/>
      <c r="AB20" s="264"/>
      <c r="AC20" s="264"/>
      <c r="AD20" s="264"/>
    </row>
    <row r="21" spans="1:30" s="164" customFormat="1" ht="14.25" x14ac:dyDescent="0.2">
      <c r="A21" s="122">
        <v>21</v>
      </c>
      <c r="B21" s="122" t="s">
        <v>15</v>
      </c>
      <c r="C21" s="122" t="s">
        <v>18</v>
      </c>
      <c r="D21" s="328">
        <f>IF(B21="A0"&amp;core_data!$B$21,core_data!$F$21,"X")</f>
        <v>93.179999999999993</v>
      </c>
      <c r="E21" s="328">
        <f>IF(C21="B0"&amp;core_data!$B$21,core_data!$J$21,"X")</f>
        <v>92.759999999999991</v>
      </c>
      <c r="F21" s="328">
        <f>IF(B21="A0"&amp;core_data!$B21,core_data!$N21,"X")</f>
        <v>37.366666666666667</v>
      </c>
      <c r="G21" s="328">
        <f>IF(C21="B0"&amp;core_data!$B21,core_data!$R21,"X")</f>
        <v>37.216666666666669</v>
      </c>
      <c r="H21" s="123">
        <v>43768</v>
      </c>
      <c r="I21" s="123">
        <v>43769</v>
      </c>
      <c r="J21" s="124">
        <v>-20</v>
      </c>
      <c r="K21" s="162">
        <v>10.130000000000001</v>
      </c>
      <c r="L21" s="163">
        <f>PI()*(AVERAGE(core_data!N21/1000,core_data!R21/1000)/2)^2</f>
        <v>1.0922284094365296E-3</v>
      </c>
      <c r="M21" s="135" t="s">
        <v>121</v>
      </c>
      <c r="N21" s="135"/>
      <c r="O21" s="133">
        <v>49.3</v>
      </c>
      <c r="P21" s="191"/>
      <c r="Q21" s="133">
        <f t="shared" ref="Q21" si="9">O21*9.80665</f>
        <v>483.46784499999995</v>
      </c>
      <c r="R21" s="320"/>
      <c r="S21" s="162" t="s">
        <v>81</v>
      </c>
      <c r="T21" s="162"/>
      <c r="U21" s="229"/>
      <c r="V21" s="162" t="s">
        <v>33</v>
      </c>
      <c r="W21" s="264" t="s">
        <v>122</v>
      </c>
      <c r="X21" s="264"/>
      <c r="Y21" s="264"/>
      <c r="Z21" s="264"/>
      <c r="AA21" s="264"/>
      <c r="AB21" s="264"/>
      <c r="AC21" s="264"/>
      <c r="AD21" s="264"/>
    </row>
    <row r="22" spans="1:30" s="164" customFormat="1" ht="14.25" x14ac:dyDescent="0.2">
      <c r="A22" s="122">
        <v>22</v>
      </c>
      <c r="B22" s="122" t="s">
        <v>91</v>
      </c>
      <c r="C22" s="122" t="s">
        <v>92</v>
      </c>
      <c r="D22" s="328">
        <f>IF(B22="A0"&amp;core_data!$B$22,core_data!$F$22,"X")</f>
        <v>94.673333333333332</v>
      </c>
      <c r="E22" s="328">
        <f>IF(C22="B0"&amp;core_data!$B$22,core_data!$J$22,"X")</f>
        <v>95.55</v>
      </c>
      <c r="F22" s="328">
        <f>IF(B22="A0"&amp;core_data!$B22,core_data!$N22,"X")</f>
        <v>37.373333333333335</v>
      </c>
      <c r="G22" s="328">
        <f>IF(C22="B0"&amp;core_data!$B22,core_data!$R22,"X")</f>
        <v>37.333333333333336</v>
      </c>
      <c r="H22" s="123">
        <v>43768</v>
      </c>
      <c r="I22" s="123">
        <v>43769</v>
      </c>
      <c r="J22" s="124">
        <v>-20</v>
      </c>
      <c r="K22" s="170">
        <v>10</v>
      </c>
      <c r="L22" s="126">
        <f>PI()*(AVERAGE(core_data!N22/1000,core_data!R22/1000)/2)^2</f>
        <v>1.0958436822674491E-3</v>
      </c>
      <c r="M22" s="162">
        <f>SUM(mass!C18:E18,mass!K18,mass!N18,mass!O18,mass!B23)</f>
        <v>34.403100000000002</v>
      </c>
      <c r="N22" s="162">
        <f>1.0169+0.9671+0.5316</f>
        <v>2.5156000000000001</v>
      </c>
      <c r="O22" s="128">
        <f>N22+M22</f>
        <v>36.918700000000001</v>
      </c>
      <c r="P22" s="190">
        <f t="shared" si="1"/>
        <v>6.8138910633364663E-2</v>
      </c>
      <c r="Q22" s="132">
        <f t="shared" ref="Q22" si="10">O22*9.80665</f>
        <v>362.04876935499999</v>
      </c>
      <c r="R22" s="321">
        <f>Q22/L21/1000000</f>
        <v>0.33147715828210106</v>
      </c>
      <c r="S22" s="162" t="s">
        <v>81</v>
      </c>
      <c r="T22" s="162" t="s">
        <v>77</v>
      </c>
      <c r="U22" s="229"/>
      <c r="V22" s="162" t="s">
        <v>33</v>
      </c>
      <c r="W22" s="264" t="s">
        <v>120</v>
      </c>
      <c r="X22" s="264"/>
      <c r="Y22" s="264"/>
      <c r="Z22" s="264"/>
      <c r="AA22" s="264"/>
      <c r="AB22" s="264"/>
      <c r="AC22" s="264"/>
      <c r="AD22" s="264"/>
    </row>
    <row r="23" spans="1:30" s="164" customFormat="1" ht="14.25" x14ac:dyDescent="0.2">
      <c r="A23" s="122">
        <v>23</v>
      </c>
      <c r="B23" s="122" t="s">
        <v>94</v>
      </c>
      <c r="C23" s="122" t="s">
        <v>95</v>
      </c>
      <c r="D23" s="328">
        <f>IF(B23="A0"&amp;core_data!$B$23,core_data!$F$23,"X")</f>
        <v>94.280000000000015</v>
      </c>
      <c r="E23" s="328">
        <f>IF(C23="B0"&amp;core_data!$B$23,core_data!$J$23,"X")</f>
        <v>94.649999999999991</v>
      </c>
      <c r="F23" s="328">
        <f>IF(B23="A0"&amp;core_data!$B23,core_data!$N23,"X")</f>
        <v>37.330000000000005</v>
      </c>
      <c r="G23" s="328">
        <f>IF(C23="B0"&amp;core_data!$B23,core_data!$R23,"X")</f>
        <v>37.36333333333333</v>
      </c>
      <c r="H23" s="123">
        <v>43768</v>
      </c>
      <c r="I23" s="123">
        <v>43769</v>
      </c>
      <c r="J23" s="124">
        <v>-20</v>
      </c>
      <c r="K23" s="162">
        <v>9.81</v>
      </c>
      <c r="L23" s="163">
        <f>PI()*(AVERAGE(core_data!N23/1000,core_data!R23/1000)/2)^2</f>
        <v>1.095452553982077E-3</v>
      </c>
      <c r="M23" s="162">
        <f>SUM(mass!C18:E18,mass!K18,mass!N18,mass!O18,mass!B23)+mass!G18+mass!I18+mass!J18</f>
        <v>37.637100000000004</v>
      </c>
      <c r="N23" s="162">
        <f>0.9989+1.0351+0.94+1.0075+0.9532+0.5698</f>
        <v>5.5044999999999993</v>
      </c>
      <c r="O23" s="128">
        <f>N23+M23</f>
        <v>43.141600000000004</v>
      </c>
      <c r="P23" s="190">
        <f t="shared" si="1"/>
        <v>0.12759146624140039</v>
      </c>
      <c r="Q23" s="132">
        <f t="shared" ref="Q23:Q24" si="11">O23*9.80665</f>
        <v>423.07457163999999</v>
      </c>
      <c r="R23" s="321">
        <f>Q23/L22/1000000</f>
        <v>0.38607200870529396</v>
      </c>
      <c r="S23" s="162" t="s">
        <v>81</v>
      </c>
      <c r="T23" s="162" t="s">
        <v>77</v>
      </c>
      <c r="U23" s="229"/>
      <c r="V23" s="162" t="s">
        <v>33</v>
      </c>
      <c r="W23" s="264" t="s">
        <v>120</v>
      </c>
      <c r="X23" s="264"/>
      <c r="Y23" s="264"/>
      <c r="Z23" s="264"/>
      <c r="AA23" s="264"/>
      <c r="AB23" s="264"/>
      <c r="AC23" s="264"/>
      <c r="AD23" s="264"/>
    </row>
    <row r="24" spans="1:30" ht="14.25" x14ac:dyDescent="0.2">
      <c r="A24" s="94">
        <v>24</v>
      </c>
      <c r="B24" s="94" t="s">
        <v>97</v>
      </c>
      <c r="C24" s="94" t="s">
        <v>98</v>
      </c>
      <c r="D24" s="328">
        <f>IF(B24="A0"&amp;core_data!$B$24,core_data!$F$24,"X")</f>
        <v>97.813333333333333</v>
      </c>
      <c r="E24" s="328">
        <f>IF(C24="B0"&amp;core_data!$B$24,core_data!$J$24,"X")</f>
        <v>98.403333333333322</v>
      </c>
      <c r="F24" s="328">
        <f>IF(B24="A0"&amp;core_data!$B$24,core_data!$N$24,"X")</f>
        <v>37.406666666666666</v>
      </c>
      <c r="G24" s="328">
        <f>IF(C24="B0"&amp;core_data!$B$24,core_data!$R$24,"X")</f>
        <v>37.346666666666671</v>
      </c>
      <c r="H24" s="165">
        <v>43768</v>
      </c>
      <c r="I24" s="137">
        <v>43770</v>
      </c>
      <c r="J24" s="136">
        <v>-15</v>
      </c>
      <c r="K24" s="181"/>
      <c r="L24" s="169">
        <f>PI()*(AVERAGE(core_data!N24/1000,core_data!R24/1000)/2)^2</f>
        <v>1.0972131810449654E-3</v>
      </c>
      <c r="M24" s="135" t="s">
        <v>123</v>
      </c>
      <c r="N24" s="182">
        <f>0.6904-mass!O18</f>
        <v>0.62519999999999998</v>
      </c>
      <c r="O24" s="133">
        <v>41.83</v>
      </c>
      <c r="P24" s="191">
        <f t="shared" si="1"/>
        <v>1.4946210853454458E-2</v>
      </c>
      <c r="Q24" s="133">
        <f t="shared" si="11"/>
        <v>410.21216949999996</v>
      </c>
      <c r="R24" s="320"/>
      <c r="S24" s="136" t="s">
        <v>81</v>
      </c>
      <c r="T24" s="136" t="s">
        <v>77</v>
      </c>
      <c r="U24" s="230"/>
      <c r="V24" s="136" t="s">
        <v>33</v>
      </c>
      <c r="W24" s="265" t="s">
        <v>124</v>
      </c>
      <c r="X24" s="265"/>
      <c r="Y24" s="265"/>
      <c r="Z24" s="265"/>
      <c r="AA24" s="265"/>
      <c r="AB24" s="265"/>
      <c r="AC24" s="265"/>
      <c r="AD24" s="265"/>
    </row>
    <row r="25" spans="1:30" ht="14.25" x14ac:dyDescent="0.2">
      <c r="A25" s="94">
        <v>25</v>
      </c>
      <c r="B25" s="94" t="s">
        <v>100</v>
      </c>
      <c r="C25" s="94" t="s">
        <v>101</v>
      </c>
      <c r="D25" s="328">
        <f>IF(B25="A0"&amp;core_data!$B$25,core_data!$F$25,"X")</f>
        <v>93.926666666666662</v>
      </c>
      <c r="E25" s="328">
        <f>IF(C25="B0"&amp;core_data!$B$25,core_data!$J$25,"X")</f>
        <v>93.243333333333325</v>
      </c>
      <c r="F25" s="328">
        <f>IF(B25="A0"&amp;core_data!$B$25,core_data!$N$25,"X")</f>
        <v>37.336666666666666</v>
      </c>
      <c r="G25" s="328">
        <f>IF(C25="B0"&amp;core_data!$B$25,core_data!$R$25,"X")</f>
        <v>37.26</v>
      </c>
      <c r="H25" s="165">
        <v>43768</v>
      </c>
      <c r="I25" s="137">
        <v>43770</v>
      </c>
      <c r="J25" s="136">
        <v>-15</v>
      </c>
      <c r="K25" s="136">
        <v>10.27</v>
      </c>
      <c r="L25" s="169">
        <f>PI()*(AVERAGE(core_data!N25/1000,core_data!R25/1000)/2)^2</f>
        <v>1.0926189617632485E-3</v>
      </c>
      <c r="M25" s="135" t="s">
        <v>125</v>
      </c>
      <c r="N25" s="135"/>
      <c r="O25" s="133">
        <v>36.8979</v>
      </c>
      <c r="P25" s="133"/>
      <c r="Q25" s="133"/>
      <c r="R25" s="320"/>
      <c r="S25" s="136" t="s">
        <v>81</v>
      </c>
      <c r="T25" s="136" t="s">
        <v>77</v>
      </c>
      <c r="U25" s="231"/>
      <c r="V25" s="220" t="s">
        <v>33</v>
      </c>
      <c r="W25" s="259" t="s">
        <v>124</v>
      </c>
      <c r="X25" s="260"/>
      <c r="Y25" s="260"/>
      <c r="Z25" s="260"/>
      <c r="AA25" s="260"/>
      <c r="AB25" s="260"/>
      <c r="AC25" s="260"/>
      <c r="AD25" s="261"/>
    </row>
    <row r="26" spans="1:30" ht="14.25" x14ac:dyDescent="0.2">
      <c r="A26" s="94">
        <v>26</v>
      </c>
      <c r="B26" s="94" t="s">
        <v>102</v>
      </c>
      <c r="C26" s="94" t="s">
        <v>103</v>
      </c>
      <c r="D26" s="328">
        <f>IF(B26="A0"&amp;core_data!$B$26,core_data!$F$26,"X")</f>
        <v>89.399999999999991</v>
      </c>
      <c r="E26" s="328">
        <f>IF(C26="B0"&amp;core_data!$B$26,core_data!$J$26,"X")</f>
        <v>91.606666666666669</v>
      </c>
      <c r="F26" s="328">
        <f>IF(B26="A0"&amp;core_data!$B$26,core_data!$N$26,"X")</f>
        <v>37.353333333333332</v>
      </c>
      <c r="G26" s="328">
        <f>IF(C26="B0"&amp;core_data!$B$26,core_data!$R$26,"X")</f>
        <v>37.360000000000007</v>
      </c>
      <c r="H26" s="165">
        <v>43768</v>
      </c>
      <c r="I26" s="137">
        <v>43770</v>
      </c>
      <c r="J26" s="136">
        <v>-15</v>
      </c>
      <c r="K26" s="136">
        <v>10.039999999999999</v>
      </c>
      <c r="L26" s="169">
        <f>PI()*(AVERAGE(core_data!N26/1000,core_data!R26/1000)/2)^2</f>
        <v>1.0960392725900734E-3</v>
      </c>
      <c r="M26" s="136">
        <f>SUM(mass!C18:E18,mass!K18,mass!N18,mass!O18,mass!B23)</f>
        <v>34.403100000000002</v>
      </c>
      <c r="N26" s="136">
        <f>1.5496-mass!O18</f>
        <v>1.4844000000000002</v>
      </c>
      <c r="O26" s="100">
        <f t="shared" ref="O26" si="12">N26+M26</f>
        <v>35.887500000000003</v>
      </c>
      <c r="P26" s="189">
        <f t="shared" si="1"/>
        <v>4.1362591431556947E-2</v>
      </c>
      <c r="Q26" s="101">
        <f t="shared" si="2"/>
        <v>351.93615187500001</v>
      </c>
      <c r="R26" s="317">
        <f>Q26/L26/1000000</f>
        <v>0.32109812182489805</v>
      </c>
      <c r="S26" s="136" t="s">
        <v>81</v>
      </c>
      <c r="T26" s="136" t="s">
        <v>77</v>
      </c>
      <c r="U26" s="231"/>
      <c r="V26" s="220" t="s">
        <v>33</v>
      </c>
      <c r="W26" s="259" t="s">
        <v>126</v>
      </c>
      <c r="X26" s="260"/>
      <c r="Y26" s="260"/>
      <c r="Z26" s="260"/>
      <c r="AA26" s="260"/>
      <c r="AB26" s="260"/>
      <c r="AC26" s="260"/>
      <c r="AD26" s="261"/>
    </row>
    <row r="27" spans="1:30" thickBot="1" x14ac:dyDescent="0.25">
      <c r="A27" s="175">
        <v>27</v>
      </c>
      <c r="B27" s="175" t="s">
        <v>104</v>
      </c>
      <c r="C27" s="175" t="s">
        <v>105</v>
      </c>
      <c r="D27" s="328">
        <f>IF(B27="A0"&amp;core_data!$B$27,core_data!$F$27,"X")</f>
        <v>90.696666666666673</v>
      </c>
      <c r="E27" s="328">
        <f>IF(C27="B0"&amp;core_data!$B$27,core_data!$J$27,"X")</f>
        <v>89.473333333333343</v>
      </c>
      <c r="F27" s="328">
        <f>IF(B27="A0"&amp;core_data!$B$27,core_data!$N$27,"X")</f>
        <v>37.346666666666671</v>
      </c>
      <c r="G27" s="328">
        <f>IF(C27="B0"&amp;core_data!$B$27,core_data!$R$27,"X")</f>
        <v>37.360000000000007</v>
      </c>
      <c r="H27" s="176">
        <v>43768</v>
      </c>
      <c r="I27" s="183">
        <v>43770</v>
      </c>
      <c r="J27" s="177">
        <v>-15</v>
      </c>
      <c r="K27" s="177">
        <v>9.8800000000000008</v>
      </c>
      <c r="L27" s="178">
        <f>PI()*(AVERAGE(core_data!N27/1000,core_data!R27/1000)/2)^2</f>
        <v>1.0958436822674491E-3</v>
      </c>
      <c r="M27" s="177">
        <f>SUM(mass!C18:E18,mass!K18,mass!N18,mass!O18,mass!B23)</f>
        <v>34.403100000000002</v>
      </c>
      <c r="N27" s="177">
        <f>0.963+0.9566+0.9892+0.9135+0.9086+0.9921+0.0936</f>
        <v>5.8166000000000002</v>
      </c>
      <c r="O27" s="179">
        <f t="shared" ref="O27" si="13">N27+M27</f>
        <v>40.219700000000003</v>
      </c>
      <c r="P27" s="198">
        <f t="shared" si="1"/>
        <v>0.14462067096472622</v>
      </c>
      <c r="Q27" s="180">
        <f t="shared" ref="Q27:Q28" si="14">O27*9.80665</f>
        <v>394.42052100500001</v>
      </c>
      <c r="R27" s="322">
        <f>Q27/L27/1000000</f>
        <v>0.35992407255466446</v>
      </c>
      <c r="S27" s="177" t="s">
        <v>81</v>
      </c>
      <c r="T27" s="177" t="s">
        <v>77</v>
      </c>
      <c r="U27" s="232"/>
      <c r="V27" s="221" t="s">
        <v>33</v>
      </c>
      <c r="W27" s="278" t="s">
        <v>127</v>
      </c>
      <c r="X27" s="279"/>
      <c r="Y27" s="279"/>
      <c r="Z27" s="279"/>
      <c r="AA27" s="279"/>
      <c r="AB27" s="279"/>
      <c r="AC27" s="279"/>
      <c r="AD27" s="280"/>
    </row>
    <row r="28" spans="1:30" ht="14.25" x14ac:dyDescent="0.2">
      <c r="A28" s="172">
        <v>28</v>
      </c>
      <c r="B28" s="172" t="s">
        <v>106</v>
      </c>
      <c r="C28" s="172" t="s">
        <v>107</v>
      </c>
      <c r="D28" s="328">
        <f>IF(B28="A0"&amp;core_data!$B$28,core_data!$F$28,"X")</f>
        <v>83.17</v>
      </c>
      <c r="E28" s="328">
        <f>IF(C28="B0"&amp;core_data!$B$28,core_data!$J$28,"X")</f>
        <v>88.483333333333334</v>
      </c>
      <c r="F28" s="328">
        <f>IF(B28="A0"&amp;core_data!$B$28,core_data!$N$28,"X")</f>
        <v>37.356666666666669</v>
      </c>
      <c r="G28" s="328">
        <f>IF(C28="B0"&amp;core_data!$B$28,core_data!$R$28,"X")</f>
        <v>37.346666666666664</v>
      </c>
      <c r="H28" s="165">
        <v>43769</v>
      </c>
      <c r="I28" s="137">
        <v>43771</v>
      </c>
      <c r="J28" s="173">
        <v>-15</v>
      </c>
      <c r="K28" s="173">
        <v>9.8699999999999992</v>
      </c>
      <c r="L28" s="184">
        <f>PI()*(AVERAGE(core_data!N28/1000,core_data!R28/1000)/2)^2</f>
        <v>1.0957458936511216E-3</v>
      </c>
      <c r="M28" s="135" t="s">
        <v>121</v>
      </c>
      <c r="N28" s="135"/>
      <c r="O28" s="133">
        <v>49.3</v>
      </c>
      <c r="P28" s="197"/>
      <c r="Q28" s="133">
        <f t="shared" si="14"/>
        <v>483.46784499999995</v>
      </c>
      <c r="R28" s="320"/>
      <c r="S28" s="173" t="s">
        <v>81</v>
      </c>
      <c r="T28" s="173" t="s">
        <v>77</v>
      </c>
      <c r="U28" s="233"/>
      <c r="V28" s="222" t="str">
        <f>IF(R28="","B","G")</f>
        <v>B</v>
      </c>
      <c r="W28" s="273" t="s">
        <v>128</v>
      </c>
      <c r="X28" s="274"/>
      <c r="Y28" s="274"/>
      <c r="Z28" s="274"/>
      <c r="AA28" s="274"/>
      <c r="AB28" s="274"/>
      <c r="AC28" s="274"/>
      <c r="AD28" s="275"/>
    </row>
    <row r="29" spans="1:30" ht="14.25" x14ac:dyDescent="0.2">
      <c r="A29" s="172">
        <v>29</v>
      </c>
      <c r="B29" s="172" t="s">
        <v>84</v>
      </c>
      <c r="C29" s="172" t="s">
        <v>85</v>
      </c>
      <c r="D29" s="328">
        <f>IF(B29="A"&amp;core_data!$B$29,core_data!$F$29,"X")</f>
        <v>100.06666666666666</v>
      </c>
      <c r="E29" s="328">
        <f>IF(C29="B"&amp;core_data!$B$29,core_data!$J$29,"X")</f>
        <v>97.666666666666671</v>
      </c>
      <c r="F29" s="328">
        <f>IF(B29="A"&amp;core_data!$B$29,core_data!$N$29,"X")</f>
        <v>37.35</v>
      </c>
      <c r="G29" s="328">
        <f>IF(C29="B"&amp;core_data!$B$29,core_data!$R$29,"X")</f>
        <v>37.366666666666667</v>
      </c>
      <c r="H29" s="165">
        <v>43769</v>
      </c>
      <c r="I29" s="137">
        <v>43771</v>
      </c>
      <c r="J29" s="173">
        <v>-15</v>
      </c>
      <c r="K29" s="136">
        <v>10.51</v>
      </c>
      <c r="L29" s="169">
        <f>PI()*(AVERAGE(core_data!N29/1000,core_data!R29/1000)/2)^2</f>
        <v>1.0961370742963708E-3</v>
      </c>
      <c r="M29" s="136">
        <f>SUM(mass!C18:E18,mass!K18,mass!N18,mass!O18)+mass!G18</f>
        <v>32.997099999999996</v>
      </c>
      <c r="N29" s="136">
        <f>0.9119+0.9274+0.9288+0.9122+1.0049+0.9111+0.6968</f>
        <v>6.2930999999999999</v>
      </c>
      <c r="O29" s="100">
        <f t="shared" ref="O29" si="15">N29+M29</f>
        <v>39.290199999999999</v>
      </c>
      <c r="P29" s="189">
        <f t="shared" si="1"/>
        <v>0.16016971153111972</v>
      </c>
      <c r="Q29" s="101">
        <f t="shared" ref="Q29" si="16">O29*9.80665</f>
        <v>385.30523982999995</v>
      </c>
      <c r="R29" s="317">
        <f>Q29/L29/1000000</f>
        <v>0.35151191293966044</v>
      </c>
      <c r="S29" s="136" t="s">
        <v>81</v>
      </c>
      <c r="T29" s="136" t="s">
        <v>77</v>
      </c>
      <c r="U29" s="233"/>
      <c r="V29" s="222" t="str">
        <f t="shared" ref="V29:V92" si="17">IF(R29="","B","G")</f>
        <v>G</v>
      </c>
      <c r="W29" s="273" t="s">
        <v>129</v>
      </c>
      <c r="X29" s="274"/>
      <c r="Y29" s="274"/>
      <c r="Z29" s="274"/>
      <c r="AA29" s="274"/>
      <c r="AB29" s="274"/>
      <c r="AC29" s="274"/>
      <c r="AD29" s="275"/>
    </row>
    <row r="30" spans="1:30" ht="14.25" x14ac:dyDescent="0.2">
      <c r="A30" s="172">
        <v>30</v>
      </c>
      <c r="B30" s="172" t="s">
        <v>108</v>
      </c>
      <c r="C30" s="172" t="s">
        <v>109</v>
      </c>
      <c r="D30" s="328">
        <f>IF(B30="A"&amp;core_data!$B$30,core_data!$F$30,"X")</f>
        <v>102.02</v>
      </c>
      <c r="E30" s="328">
        <f>IF(C30="B"&amp;core_data!$B$30,core_data!$J$30,"X")</f>
        <v>102.01333333333334</v>
      </c>
      <c r="F30" s="328">
        <f>IF(B30="A"&amp;core_data!$B$30,core_data!$N$30,"X")</f>
        <v>37.423333333333332</v>
      </c>
      <c r="G30" s="328">
        <f>IF(C30="B"&amp;core_data!$B$30,core_data!$R$30,"X")</f>
        <v>37.403333333333336</v>
      </c>
      <c r="H30" s="165">
        <v>43769</v>
      </c>
      <c r="I30" s="137">
        <v>43771</v>
      </c>
      <c r="J30" s="173">
        <v>-15</v>
      </c>
      <c r="K30" s="136">
        <v>9.94</v>
      </c>
      <c r="L30" s="169">
        <f>PI()*(AVERAGE(core_data!N30/1000,core_data!R30/1000)/2)^2</f>
        <v>1.0993669784284499E-3</v>
      </c>
      <c r="M30" s="136">
        <f>SUM(mass!C18:E18,mass!K18,mass!N18,mass!O18)+mass!G18+mass!H18</f>
        <v>34.076099999999997</v>
      </c>
      <c r="N30" s="136">
        <f>1.0058+0.9612+1.0185+0.8993+0.764</f>
        <v>4.6488000000000005</v>
      </c>
      <c r="O30" s="100">
        <f t="shared" ref="O30" si="18">N30+M30</f>
        <v>38.724899999999998</v>
      </c>
      <c r="P30" s="189">
        <f t="shared" si="1"/>
        <v>0.12004679159920363</v>
      </c>
      <c r="Q30" s="101">
        <f t="shared" ref="Q30" si="19">O30*9.80665</f>
        <v>379.76154058499998</v>
      </c>
      <c r="R30" s="317">
        <f>Q30/L30/1000000</f>
        <v>0.34543655397751788</v>
      </c>
      <c r="S30" s="136" t="s">
        <v>81</v>
      </c>
      <c r="T30" s="136" t="s">
        <v>77</v>
      </c>
      <c r="U30" s="233"/>
      <c r="V30" s="222" t="str">
        <f t="shared" si="17"/>
        <v>G</v>
      </c>
      <c r="W30" s="273" t="s">
        <v>128</v>
      </c>
      <c r="X30" s="274"/>
      <c r="Y30" s="274"/>
      <c r="Z30" s="274"/>
      <c r="AA30" s="274"/>
      <c r="AB30" s="274"/>
      <c r="AC30" s="274"/>
      <c r="AD30" s="275"/>
    </row>
    <row r="31" spans="1:30" ht="14.25" x14ac:dyDescent="0.2">
      <c r="A31" s="172">
        <v>31</v>
      </c>
      <c r="B31" s="172" t="s">
        <v>110</v>
      </c>
      <c r="C31" s="172" t="s">
        <v>111</v>
      </c>
      <c r="D31" s="328">
        <f>IF(B31="A"&amp;core_data!$B$31,core_data!$F$31,"X")</f>
        <v>90.516666666666666</v>
      </c>
      <c r="E31" s="328">
        <f>IF(C31="B"&amp;core_data!$B$31,core_data!$J$31,"X")</f>
        <v>89.853333333333339</v>
      </c>
      <c r="F31" s="328">
        <f>IF(B31="A"&amp;core_data!$B$31,core_data!$N$31,"X")</f>
        <v>37.376666666666665</v>
      </c>
      <c r="G31" s="328">
        <f>IF(C31="B"&amp;core_data!$B$31,core_data!$R$31,"X")</f>
        <v>37.343333333333334</v>
      </c>
      <c r="H31" s="165">
        <v>43769</v>
      </c>
      <c r="I31" s="137">
        <v>43771</v>
      </c>
      <c r="J31" s="173">
        <v>-15</v>
      </c>
      <c r="K31" s="181"/>
      <c r="L31" s="169">
        <f>PI()*(AVERAGE(core_data!N31/1000,core_data!R31/1000)/2)^2</f>
        <v>1.0962348803659908E-3</v>
      </c>
      <c r="M31" s="135"/>
      <c r="N31" s="135"/>
      <c r="O31" s="133" t="s">
        <v>88</v>
      </c>
      <c r="P31" s="134" t="s">
        <v>88</v>
      </c>
      <c r="Q31" s="134" t="s">
        <v>88</v>
      </c>
      <c r="R31" s="318"/>
      <c r="S31" s="136" t="s">
        <v>81</v>
      </c>
      <c r="T31" s="181" t="s">
        <v>88</v>
      </c>
      <c r="U31" s="234"/>
      <c r="V31" s="222" t="str">
        <f t="shared" si="17"/>
        <v>B</v>
      </c>
      <c r="W31" s="273" t="s">
        <v>130</v>
      </c>
      <c r="X31" s="274"/>
      <c r="Y31" s="274"/>
      <c r="Z31" s="274"/>
      <c r="AA31" s="274"/>
      <c r="AB31" s="274"/>
      <c r="AC31" s="274"/>
      <c r="AD31" s="275"/>
    </row>
    <row r="32" spans="1:30" ht="14.25" x14ac:dyDescent="0.2">
      <c r="A32" s="237">
        <v>32</v>
      </c>
      <c r="B32" s="237" t="s">
        <v>112</v>
      </c>
      <c r="C32" s="237" t="s">
        <v>113</v>
      </c>
      <c r="D32" s="328">
        <f>IF(B32="A"&amp;core_data!$B$32,core_data!$F$32,"X")</f>
        <v>96.176666666666662</v>
      </c>
      <c r="E32" s="328">
        <f>IF(C32="B"&amp;core_data!$B$32,core_data!$J$32,"X")</f>
        <v>94.953333333333333</v>
      </c>
      <c r="F32" s="328">
        <f>IF(B32="A"&amp;core_data!$B32,core_data!$N32,"X")</f>
        <v>37.393333333333338</v>
      </c>
      <c r="G32" s="328">
        <f>IF(C32="B"&amp;core_data!$B$32,core_data!$R$32,"X")</f>
        <v>37.330000000000005</v>
      </c>
      <c r="H32" s="238">
        <v>43770</v>
      </c>
      <c r="I32" s="238">
        <v>43773</v>
      </c>
      <c r="J32" s="162">
        <v>-15</v>
      </c>
      <c r="K32" s="239"/>
      <c r="L32" s="163">
        <f>PI()*(AVERAGE(core_data!N32/1000,core_data!R32/1000)/2)^2</f>
        <v>1.0963326907989345E-3</v>
      </c>
      <c r="M32" s="127"/>
      <c r="N32" s="127"/>
      <c r="O32" s="128" t="s">
        <v>88</v>
      </c>
      <c r="P32" s="129" t="s">
        <v>88</v>
      </c>
      <c r="Q32" s="129" t="s">
        <v>88</v>
      </c>
      <c r="R32" s="323"/>
      <c r="S32" s="162" t="s">
        <v>81</v>
      </c>
      <c r="T32" s="239" t="s">
        <v>88</v>
      </c>
      <c r="U32" s="240"/>
      <c r="V32" s="241" t="str">
        <f t="shared" si="17"/>
        <v>B</v>
      </c>
      <c r="W32" s="270" t="s">
        <v>131</v>
      </c>
      <c r="X32" s="271"/>
      <c r="Y32" s="271"/>
      <c r="Z32" s="271"/>
      <c r="AA32" s="271"/>
      <c r="AB32" s="271"/>
      <c r="AC32" s="271"/>
      <c r="AD32" s="272"/>
    </row>
    <row r="33" spans="1:30" ht="14.25" x14ac:dyDescent="0.2">
      <c r="A33" s="237">
        <v>33</v>
      </c>
      <c r="B33" s="237" t="s">
        <v>116</v>
      </c>
      <c r="C33" s="237" t="s">
        <v>117</v>
      </c>
      <c r="D33" s="328">
        <f>IF(B33="A"&amp;core_data!$B$33,core_data!$F$33,"X")</f>
        <v>96.52</v>
      </c>
      <c r="E33" s="328">
        <f>IF(C33="B"&amp;core_data!$B$33,core_data!$J$33,"X")</f>
        <v>97.326666666666668</v>
      </c>
      <c r="F33" s="328">
        <f>IF(B33="A"&amp;core_data!$B33,core_data!$N33,"X")</f>
        <v>37.22</v>
      </c>
      <c r="G33" s="328">
        <f>IF(C33="B"&amp;core_data!$B33,core_data!$R33,"X")</f>
        <v>37.270000000000003</v>
      </c>
      <c r="H33" s="238">
        <v>43770</v>
      </c>
      <c r="I33" s="238">
        <v>43773</v>
      </c>
      <c r="J33" s="162">
        <v>-15</v>
      </c>
      <c r="K33" s="239"/>
      <c r="L33" s="163">
        <f>PI()*(AVERAGE(core_data!N33/1000,core_data!R33/1000)/2)^2</f>
        <v>1.0894964979182604E-3</v>
      </c>
      <c r="M33" s="127"/>
      <c r="N33" s="127"/>
      <c r="O33" s="128" t="s">
        <v>88</v>
      </c>
      <c r="P33" s="129" t="s">
        <v>88</v>
      </c>
      <c r="Q33" s="129" t="s">
        <v>88</v>
      </c>
      <c r="R33" s="323"/>
      <c r="S33" s="162" t="s">
        <v>81</v>
      </c>
      <c r="T33" s="239" t="s">
        <v>88</v>
      </c>
      <c r="U33" s="240"/>
      <c r="V33" s="241" t="str">
        <f t="shared" si="17"/>
        <v>B</v>
      </c>
      <c r="W33" s="270" t="s">
        <v>131</v>
      </c>
      <c r="X33" s="271"/>
      <c r="Y33" s="271"/>
      <c r="Z33" s="271"/>
      <c r="AA33" s="271"/>
      <c r="AB33" s="271"/>
      <c r="AC33" s="271"/>
      <c r="AD33" s="272"/>
    </row>
    <row r="34" spans="1:30" ht="14.25" x14ac:dyDescent="0.2">
      <c r="A34" s="237">
        <v>34</v>
      </c>
      <c r="B34" s="237" t="s">
        <v>79</v>
      </c>
      <c r="C34" s="237" t="s">
        <v>80</v>
      </c>
      <c r="D34" s="328">
        <f>IF(B34="A"&amp;core_data!$B$34,core_data!$F$34,"X")</f>
        <v>98.8</v>
      </c>
      <c r="E34" s="328">
        <f>IF(C34="B"&amp;core_data!$B$34,core_data!$J$34,"X")</f>
        <v>98.813333333333333</v>
      </c>
      <c r="F34" s="328">
        <f>IF(B34="A"&amp;core_data!$B34,core_data!$N34,"X")</f>
        <v>37.373333333333335</v>
      </c>
      <c r="G34" s="328">
        <f>IF(C34="B"&amp;core_data!$B34,core_data!$R34,"X")</f>
        <v>37.416666666666664</v>
      </c>
      <c r="H34" s="238">
        <v>43770</v>
      </c>
      <c r="I34" s="238">
        <v>43773</v>
      </c>
      <c r="J34" s="162">
        <v>-15</v>
      </c>
      <c r="K34" s="239"/>
      <c r="L34" s="163">
        <f>PI()*(AVERAGE(core_data!N34/1000,core_data!R34/1000)/2)^2</f>
        <v>1.098289815755658E-3</v>
      </c>
      <c r="M34" s="127"/>
      <c r="N34" s="127"/>
      <c r="O34" s="128" t="s">
        <v>88</v>
      </c>
      <c r="P34" s="129" t="s">
        <v>88</v>
      </c>
      <c r="Q34" s="129" t="s">
        <v>88</v>
      </c>
      <c r="R34" s="323"/>
      <c r="S34" s="162" t="s">
        <v>81</v>
      </c>
      <c r="T34" s="239" t="s">
        <v>88</v>
      </c>
      <c r="U34" s="240"/>
      <c r="V34" s="241" t="str">
        <f t="shared" si="17"/>
        <v>B</v>
      </c>
      <c r="W34" s="270" t="s">
        <v>131</v>
      </c>
      <c r="X34" s="271"/>
      <c r="Y34" s="271"/>
      <c r="Z34" s="271"/>
      <c r="AA34" s="271"/>
      <c r="AB34" s="271"/>
      <c r="AC34" s="271"/>
      <c r="AD34" s="272"/>
    </row>
    <row r="35" spans="1:30" ht="14.25" x14ac:dyDescent="0.2">
      <c r="A35" s="237">
        <v>35</v>
      </c>
      <c r="B35" s="122" t="s">
        <v>13</v>
      </c>
      <c r="C35" s="122" t="s">
        <v>17</v>
      </c>
      <c r="D35" s="328">
        <f>IF(B35="A0"&amp;core_data!$B$20,core_data!$F$20,"X")</f>
        <v>93.096666666666678</v>
      </c>
      <c r="E35" s="328">
        <f>IF(C35="B0"&amp;core_data!$B$20,core_data!$J$20,"X")</f>
        <v>93.05</v>
      </c>
      <c r="F35" s="328">
        <f>IF(B35="A0"&amp;core_data!$B20,core_data!$N20,"X")</f>
        <v>37.286666666666669</v>
      </c>
      <c r="G35" s="328">
        <f>IF(C35="B0"&amp;core_data!$B20,core_data!$R20,"X")</f>
        <v>37.256666666666668</v>
      </c>
      <c r="H35" s="238">
        <v>43770</v>
      </c>
      <c r="I35" s="238">
        <v>43773</v>
      </c>
      <c r="J35" s="162">
        <v>-15</v>
      </c>
      <c r="K35" s="239">
        <v>10.199999999999999</v>
      </c>
      <c r="L35" s="242">
        <f>PI()*(AVERAGE(core_data!N20/1000,core_data!R20/1000)/2)^2</f>
        <v>1.0910571713353939E-3</v>
      </c>
      <c r="M35" s="127"/>
      <c r="N35" s="127"/>
      <c r="O35" s="128" t="s">
        <v>88</v>
      </c>
      <c r="P35" s="129" t="s">
        <v>88</v>
      </c>
      <c r="Q35" s="129" t="s">
        <v>88</v>
      </c>
      <c r="R35" s="323"/>
      <c r="S35" s="162" t="s">
        <v>81</v>
      </c>
      <c r="T35" s="239" t="s">
        <v>88</v>
      </c>
      <c r="U35" s="240"/>
      <c r="V35" s="241" t="str">
        <f t="shared" si="17"/>
        <v>B</v>
      </c>
      <c r="W35" s="270" t="s">
        <v>131</v>
      </c>
      <c r="X35" s="271"/>
      <c r="Y35" s="271"/>
      <c r="Z35" s="271"/>
      <c r="AA35" s="271"/>
      <c r="AB35" s="271"/>
      <c r="AC35" s="271"/>
      <c r="AD35" s="272"/>
    </row>
    <row r="36" spans="1:30" ht="14.25" x14ac:dyDescent="0.2">
      <c r="A36" s="237">
        <v>36</v>
      </c>
      <c r="B36" s="237" t="s">
        <v>15</v>
      </c>
      <c r="C36" s="237" t="s">
        <v>18</v>
      </c>
      <c r="D36" s="328">
        <f>IF(B36="A0"&amp;core_data!$B$21,core_data!$F$21,"X")</f>
        <v>93.179999999999993</v>
      </c>
      <c r="E36" s="328">
        <f>IF(C36="B0"&amp;core_data!$B$21,core_data!$J$21,"X")</f>
        <v>92.759999999999991</v>
      </c>
      <c r="F36" s="328">
        <f>IF(B36="A0"&amp;core_data!$B21,core_data!$N21,"X")</f>
        <v>37.366666666666667</v>
      </c>
      <c r="G36" s="328">
        <f>IF(C36="B0"&amp;core_data!$B21,core_data!$R21,"X")</f>
        <v>37.216666666666669</v>
      </c>
      <c r="H36" s="238">
        <v>43770</v>
      </c>
      <c r="I36" s="238">
        <v>43773</v>
      </c>
      <c r="J36" s="162">
        <v>-15</v>
      </c>
      <c r="K36" s="239">
        <v>9.9600000000000009</v>
      </c>
      <c r="L36" s="242">
        <f>PI()*(AVERAGE(core_data!N21/1000,core_data!R21/1000)/2)^2</f>
        <v>1.0922284094365296E-3</v>
      </c>
      <c r="M36" s="127"/>
      <c r="N36" s="127"/>
      <c r="O36" s="128" t="s">
        <v>88</v>
      </c>
      <c r="P36" s="129" t="s">
        <v>88</v>
      </c>
      <c r="Q36" s="129" t="s">
        <v>88</v>
      </c>
      <c r="R36" s="323"/>
      <c r="S36" s="162" t="s">
        <v>81</v>
      </c>
      <c r="T36" s="239" t="s">
        <v>88</v>
      </c>
      <c r="U36" s="240"/>
      <c r="V36" s="241" t="str">
        <f t="shared" si="17"/>
        <v>B</v>
      </c>
      <c r="W36" s="270" t="s">
        <v>131</v>
      </c>
      <c r="X36" s="271"/>
      <c r="Y36" s="271"/>
      <c r="Z36" s="271"/>
      <c r="AA36" s="271"/>
      <c r="AB36" s="271"/>
      <c r="AC36" s="271"/>
      <c r="AD36" s="272"/>
    </row>
    <row r="37" spans="1:30" ht="14.25" x14ac:dyDescent="0.2">
      <c r="A37" s="237">
        <v>37</v>
      </c>
      <c r="B37" s="122" t="s">
        <v>91</v>
      </c>
      <c r="C37" s="122" t="s">
        <v>92</v>
      </c>
      <c r="D37" s="328">
        <f>IF(B37="A0"&amp;core_data!$B$22,core_data!$F$22,"X")</f>
        <v>94.673333333333332</v>
      </c>
      <c r="E37" s="328">
        <f>IF(C37="B0"&amp;core_data!$B$22,core_data!$J$22,"X")</f>
        <v>95.55</v>
      </c>
      <c r="F37" s="328">
        <f>IF(B37="A0"&amp;core_data!$B22,core_data!$N22,"X")</f>
        <v>37.373333333333335</v>
      </c>
      <c r="G37" s="328">
        <f>IF(C37="B0"&amp;core_data!$B22,core_data!$R22,"X")</f>
        <v>37.333333333333336</v>
      </c>
      <c r="H37" s="238">
        <v>43770</v>
      </c>
      <c r="I37" s="238">
        <v>43773</v>
      </c>
      <c r="J37" s="162">
        <v>-15</v>
      </c>
      <c r="K37" s="239">
        <v>9.58</v>
      </c>
      <c r="L37" s="242">
        <f>PI()*(AVERAGE(core_data!N22/1000,core_data!R22/1000)/2)^2</f>
        <v>1.0958436822674491E-3</v>
      </c>
      <c r="M37" s="127"/>
      <c r="N37" s="127"/>
      <c r="O37" s="128" t="s">
        <v>88</v>
      </c>
      <c r="P37" s="129" t="s">
        <v>88</v>
      </c>
      <c r="Q37" s="129" t="s">
        <v>88</v>
      </c>
      <c r="R37" s="323"/>
      <c r="S37" s="162" t="s">
        <v>81</v>
      </c>
      <c r="T37" s="239" t="s">
        <v>88</v>
      </c>
      <c r="U37" s="240"/>
      <c r="V37" s="241" t="str">
        <f t="shared" si="17"/>
        <v>B</v>
      </c>
      <c r="W37" s="270" t="s">
        <v>131</v>
      </c>
      <c r="X37" s="271"/>
      <c r="Y37" s="271"/>
      <c r="Z37" s="271"/>
      <c r="AA37" s="271"/>
      <c r="AB37" s="271"/>
      <c r="AC37" s="271"/>
      <c r="AD37" s="272"/>
    </row>
    <row r="38" spans="1:30" ht="14.25" x14ac:dyDescent="0.2">
      <c r="A38" s="237">
        <v>38</v>
      </c>
      <c r="B38" s="237" t="s">
        <v>94</v>
      </c>
      <c r="C38" s="237" t="s">
        <v>95</v>
      </c>
      <c r="D38" s="328">
        <f>IF(B38="A0"&amp;core_data!$B$23,core_data!$F$23,"X")</f>
        <v>94.280000000000015</v>
      </c>
      <c r="E38" s="328">
        <f>IF(C38="B0"&amp;core_data!$B$23,core_data!$J$23,"X")</f>
        <v>94.649999999999991</v>
      </c>
      <c r="F38" s="328">
        <f>IF(B38="A0"&amp;core_data!$B23,core_data!$N23,"X")</f>
        <v>37.330000000000005</v>
      </c>
      <c r="G38" s="328">
        <f>IF(C38="B0"&amp;core_data!$B23,core_data!$R23,"X")</f>
        <v>37.36333333333333</v>
      </c>
      <c r="H38" s="238">
        <v>43770</v>
      </c>
      <c r="I38" s="238">
        <v>43773</v>
      </c>
      <c r="J38" s="162">
        <v>-15</v>
      </c>
      <c r="K38" s="239"/>
      <c r="L38" s="242">
        <f>PI()*(AVERAGE(core_data!N23/1000,core_data!R23/1000)/2)^2</f>
        <v>1.095452553982077E-3</v>
      </c>
      <c r="M38" s="127"/>
      <c r="N38" s="127"/>
      <c r="O38" s="128" t="s">
        <v>88</v>
      </c>
      <c r="P38" s="129" t="s">
        <v>88</v>
      </c>
      <c r="Q38" s="129" t="s">
        <v>88</v>
      </c>
      <c r="R38" s="323"/>
      <c r="S38" s="162" t="s">
        <v>81</v>
      </c>
      <c r="T38" s="239" t="s">
        <v>88</v>
      </c>
      <c r="U38" s="240"/>
      <c r="V38" s="241" t="str">
        <f t="shared" si="17"/>
        <v>B</v>
      </c>
      <c r="W38" s="270" t="s">
        <v>131</v>
      </c>
      <c r="X38" s="271"/>
      <c r="Y38" s="271"/>
      <c r="Z38" s="271"/>
      <c r="AA38" s="271"/>
      <c r="AB38" s="271"/>
      <c r="AC38" s="271"/>
      <c r="AD38" s="272"/>
    </row>
    <row r="39" spans="1:30" ht="14.25" x14ac:dyDescent="0.2">
      <c r="A39" s="172">
        <v>39</v>
      </c>
      <c r="B39" s="94" t="s">
        <v>97</v>
      </c>
      <c r="C39" s="94" t="s">
        <v>98</v>
      </c>
      <c r="D39" s="328">
        <f>IF(B39="A0"&amp;core_data!$B$24,core_data!$F$24,"X")</f>
        <v>97.813333333333333</v>
      </c>
      <c r="E39" s="328">
        <f>IF(C39="B0"&amp;core_data!$B$24,core_data!$J$24,"X")</f>
        <v>98.403333333333322</v>
      </c>
      <c r="F39" s="328">
        <f>IF(B39="A0"&amp;core_data!$B24,core_data!$N24,"X")</f>
        <v>37.406666666666666</v>
      </c>
      <c r="G39" s="328">
        <f>IF(C39="B0"&amp;core_data!$B24,core_data!$R24,"X")</f>
        <v>37.346666666666671</v>
      </c>
      <c r="H39" s="137">
        <v>43773</v>
      </c>
      <c r="I39" s="137">
        <v>43775</v>
      </c>
      <c r="J39" s="136">
        <v>-15</v>
      </c>
      <c r="K39" s="136">
        <v>10.25</v>
      </c>
      <c r="L39" s="174">
        <f>PI()*(AVERAGE(core_data!N24/1000,core_data!R24/1000)/2)^2</f>
        <v>1.0972131810449654E-3</v>
      </c>
      <c r="M39" s="210">
        <f>mass!C18+mass!D18+mass!E18+SUM(mass!G18:J18)+mass!K18+mass!N18+mass!O18+mass!B23+mass!L23</f>
        <v>39.793499999999995</v>
      </c>
      <c r="N39" s="136">
        <f>0.8864+0.9547+0.9597+0.9489+0.8344+0.8506</f>
        <v>5.4346999999999994</v>
      </c>
      <c r="O39" s="100">
        <f t="shared" ref="O39" si="20">N39+M39</f>
        <v>45.228199999999994</v>
      </c>
      <c r="P39" s="189">
        <f t="shared" si="1"/>
        <v>0.12016175748758519</v>
      </c>
      <c r="Q39" s="101">
        <f t="shared" si="2"/>
        <v>443.53712752999991</v>
      </c>
      <c r="R39" s="317">
        <f>Q39/L39/1000000</f>
        <v>0.4042397003539307</v>
      </c>
      <c r="S39" s="136" t="s">
        <v>81</v>
      </c>
      <c r="T39" s="136" t="s">
        <v>77</v>
      </c>
      <c r="U39" s="233"/>
      <c r="V39" s="222" t="str">
        <f t="shared" si="17"/>
        <v>G</v>
      </c>
      <c r="W39" s="259" t="s">
        <v>132</v>
      </c>
      <c r="X39" s="260"/>
      <c r="Y39" s="260"/>
      <c r="Z39" s="260"/>
      <c r="AA39" s="260"/>
      <c r="AB39" s="260"/>
      <c r="AC39" s="260"/>
      <c r="AD39" s="261"/>
    </row>
    <row r="40" spans="1:30" ht="14.25" x14ac:dyDescent="0.2">
      <c r="A40" s="172">
        <v>40</v>
      </c>
      <c r="B40" s="172" t="s">
        <v>100</v>
      </c>
      <c r="C40" s="172" t="s">
        <v>101</v>
      </c>
      <c r="D40" s="328">
        <f>IF(B40="A0"&amp;core_data!$B$25,core_data!$F$25,"X")</f>
        <v>93.926666666666662</v>
      </c>
      <c r="E40" s="328">
        <f>IF(C40="B0"&amp;core_data!$B$25,core_data!$J$25,"X")</f>
        <v>93.243333333333325</v>
      </c>
      <c r="F40" s="328">
        <f>IF(B40="A0"&amp;core_data!$B25,core_data!$N25,"X")</f>
        <v>37.336666666666666</v>
      </c>
      <c r="G40" s="328">
        <f>IF(C40="B0"&amp;core_data!$B25,core_data!$R25,"X")</f>
        <v>37.26</v>
      </c>
      <c r="H40" s="137">
        <v>43773</v>
      </c>
      <c r="I40" s="137">
        <v>43775</v>
      </c>
      <c r="J40" s="136">
        <v>-15</v>
      </c>
      <c r="K40" s="136">
        <v>10.17</v>
      </c>
      <c r="L40" s="174">
        <f>PI()*(AVERAGE(core_data!N25/1000,core_data!R25/1000)/2)^2</f>
        <v>1.0926189617632485E-3</v>
      </c>
      <c r="M40" s="210">
        <f>mass!B18+mass!C18+mass!D18+mass!E18+mass!K18+mass!N18+mass!O18+mass!F23+SUM(mass!G18:J18)+mass!I23+mass!K23</f>
        <v>48.8934</v>
      </c>
      <c r="N40" s="136">
        <f>0.9704+0.9167+0.9039+0.9184+0.8998+0.8943+0.8722</f>
        <v>6.375700000000001</v>
      </c>
      <c r="O40" s="100">
        <f t="shared" ref="O40" si="21">N40+M40</f>
        <v>55.269100000000002</v>
      </c>
      <c r="P40" s="189">
        <f t="shared" si="1"/>
        <v>0.11535740585607511</v>
      </c>
      <c r="Q40" s="101">
        <f t="shared" ref="Q40" si="22">O40*9.80665</f>
        <v>542.00471951500003</v>
      </c>
      <c r="R40" s="317">
        <f>Q40/L40/1000000</f>
        <v>0.49606014400511839</v>
      </c>
      <c r="S40" s="136" t="s">
        <v>81</v>
      </c>
      <c r="T40" s="136" t="s">
        <v>77</v>
      </c>
      <c r="U40" s="233">
        <v>0.70763888888888893</v>
      </c>
      <c r="V40" s="222" t="str">
        <f t="shared" si="17"/>
        <v>G</v>
      </c>
      <c r="W40" s="259" t="s">
        <v>132</v>
      </c>
      <c r="X40" s="260"/>
      <c r="Y40" s="260"/>
      <c r="Z40" s="260"/>
      <c r="AA40" s="260"/>
      <c r="AB40" s="260"/>
      <c r="AC40" s="260"/>
      <c r="AD40" s="261"/>
    </row>
    <row r="41" spans="1:30" ht="14.25" x14ac:dyDescent="0.2">
      <c r="A41" s="172">
        <v>41</v>
      </c>
      <c r="B41" s="94" t="s">
        <v>102</v>
      </c>
      <c r="C41" s="94" t="s">
        <v>103</v>
      </c>
      <c r="D41" s="328">
        <f>IF(B41="A0"&amp;core_data!$B$26,core_data!$F$26,"X")</f>
        <v>89.399999999999991</v>
      </c>
      <c r="E41" s="328">
        <f>IF(C41="B0"&amp;core_data!$B$26,core_data!$J$26,"X")</f>
        <v>91.606666666666669</v>
      </c>
      <c r="F41" s="328">
        <f>IF(B41="A0"&amp;core_data!$B26,core_data!$N26,"X")</f>
        <v>37.353333333333332</v>
      </c>
      <c r="G41" s="328">
        <f>IF(C41="B0"&amp;core_data!$B26,core_data!$R26,"X")</f>
        <v>37.360000000000007</v>
      </c>
      <c r="H41" s="137">
        <v>43773</v>
      </c>
      <c r="I41" s="186">
        <v>43775</v>
      </c>
      <c r="J41" s="136">
        <v>-15</v>
      </c>
      <c r="K41" s="136">
        <v>9.85</v>
      </c>
      <c r="L41" s="174">
        <f>PI()*(AVERAGE(core_data!N26/1000,core_data!R26/1000)/2)^2</f>
        <v>1.0960392725900734E-3</v>
      </c>
      <c r="M41" s="210">
        <f>mass!B18+mass!C18+mass!D18+mass!E18+mass!K18+mass!N18+mass!O18+mass!F18+SUM(mass!G18:J18)+mass!F23+mass!G23</f>
        <v>51.434699999999999</v>
      </c>
      <c r="N41" s="136">
        <f>0.9564+0.9807+0.8555+0.8314+0.8753+0.8983+0.1732</f>
        <v>5.5707999999999993</v>
      </c>
      <c r="O41" s="100">
        <f t="shared" ref="O41" si="23">N41+M41</f>
        <v>57.005499999999998</v>
      </c>
      <c r="P41" s="189">
        <f t="shared" si="1"/>
        <v>9.7723903833840581E-2</v>
      </c>
      <c r="Q41" s="101">
        <f t="shared" ref="Q41" si="24">O41*9.80665</f>
        <v>559.032986575</v>
      </c>
      <c r="R41" s="317">
        <f>Q41/L41/1000000</f>
        <v>0.51004831720485477</v>
      </c>
      <c r="S41" s="136" t="s">
        <v>81</v>
      </c>
      <c r="T41" s="136" t="s">
        <v>77</v>
      </c>
      <c r="U41" s="233">
        <v>0.73402777777777783</v>
      </c>
      <c r="V41" s="222" t="str">
        <f t="shared" si="17"/>
        <v>G</v>
      </c>
      <c r="W41" s="259" t="s">
        <v>133</v>
      </c>
      <c r="X41" s="260"/>
      <c r="Y41" s="260"/>
      <c r="Z41" s="260"/>
      <c r="AA41" s="260"/>
      <c r="AB41" s="260"/>
      <c r="AC41" s="260"/>
      <c r="AD41" s="261"/>
    </row>
    <row r="42" spans="1:30" ht="14.25" x14ac:dyDescent="0.2">
      <c r="A42" s="172">
        <v>42</v>
      </c>
      <c r="B42" s="172" t="s">
        <v>104</v>
      </c>
      <c r="C42" s="172" t="s">
        <v>105</v>
      </c>
      <c r="D42" s="328">
        <f>IF(B42="A0"&amp;core_data!$B$27,core_data!$F$27,"X")</f>
        <v>90.696666666666673</v>
      </c>
      <c r="E42" s="328">
        <f>IF(C42="B0"&amp;core_data!$B$27,core_data!$J$27,"X")</f>
        <v>89.473333333333343</v>
      </c>
      <c r="F42" s="328">
        <f>IF(B42="A0"&amp;core_data!$B27,core_data!$N27,"X")</f>
        <v>37.346666666666671</v>
      </c>
      <c r="G42" s="328">
        <f>IF(C42="B0"&amp;core_data!$B27,core_data!$R27,"X")</f>
        <v>37.360000000000007</v>
      </c>
      <c r="H42" s="137">
        <v>43773</v>
      </c>
      <c r="I42" s="186">
        <v>43775</v>
      </c>
      <c r="J42" s="136">
        <v>-15</v>
      </c>
      <c r="K42" s="136">
        <v>10.19</v>
      </c>
      <c r="L42" s="174">
        <f>PI()*(AVERAGE(core_data!N27/1000,core_data!R27/1000)/2)^2</f>
        <v>1.0958436822674491E-3</v>
      </c>
      <c r="M42" s="211" t="s">
        <v>134</v>
      </c>
      <c r="N42" s="135"/>
      <c r="O42" s="133" t="s">
        <v>88</v>
      </c>
      <c r="P42" s="134" t="s">
        <v>88</v>
      </c>
      <c r="Q42" s="134" t="s">
        <v>88</v>
      </c>
      <c r="R42" s="318"/>
      <c r="S42" s="136" t="s">
        <v>81</v>
      </c>
      <c r="T42" s="136" t="s">
        <v>77</v>
      </c>
      <c r="U42" s="233">
        <v>0.8041666666666667</v>
      </c>
      <c r="V42" s="222" t="str">
        <f t="shared" si="17"/>
        <v>B</v>
      </c>
      <c r="W42" s="259" t="s">
        <v>135</v>
      </c>
      <c r="X42" s="260"/>
      <c r="Y42" s="260"/>
      <c r="Z42" s="260"/>
      <c r="AA42" s="260"/>
      <c r="AB42" s="260"/>
      <c r="AC42" s="260"/>
      <c r="AD42" s="261"/>
    </row>
    <row r="43" spans="1:30" ht="14.25" x14ac:dyDescent="0.2">
      <c r="A43" s="172">
        <v>43</v>
      </c>
      <c r="B43" s="94" t="s">
        <v>106</v>
      </c>
      <c r="C43" s="94" t="s">
        <v>107</v>
      </c>
      <c r="D43" s="328">
        <f>IF(B43="A0"&amp;core_data!$B$28,core_data!$F$28,"X")</f>
        <v>83.17</v>
      </c>
      <c r="E43" s="328">
        <f>IF(C43="B0"&amp;core_data!$B$28,core_data!$J$28,"X")</f>
        <v>88.483333333333334</v>
      </c>
      <c r="F43" s="328">
        <f>IF(B43="A0"&amp;core_data!$B28,core_data!$N28,"X")</f>
        <v>37.356666666666669</v>
      </c>
      <c r="G43" s="328">
        <f>IF(C43="B0"&amp;core_data!$B28,core_data!$R28,"X")</f>
        <v>37.346666666666664</v>
      </c>
      <c r="H43" s="137">
        <v>43773</v>
      </c>
      <c r="I43" s="186">
        <v>43775</v>
      </c>
      <c r="J43" s="136">
        <v>-15</v>
      </c>
      <c r="K43" s="136">
        <v>9.98</v>
      </c>
      <c r="L43" s="174">
        <f>PI()*(AVERAGE(core_data!N28/1000,core_data!R28/1000)/2)^2</f>
        <v>1.0957458936511216E-3</v>
      </c>
      <c r="M43" s="210">
        <f>mass!B18+mass!C18+mass!D18+mass!E18+mass!K18+mass!N18+mass!O18+mass!F18+SUM(mass!G18:J18)+mass!F23+mass!G23+mass!H23+mass!I23</f>
        <v>53.589500000000001</v>
      </c>
      <c r="N43" s="136">
        <f>0.9607+0.892+0.9261+0.9624+0.8965+0.224</f>
        <v>4.8616999999999999</v>
      </c>
      <c r="O43" s="100">
        <f t="shared" ref="O43" si="25">N43+M43</f>
        <v>58.4512</v>
      </c>
      <c r="P43" s="189">
        <f t="shared" si="1"/>
        <v>8.3175366801708089E-2</v>
      </c>
      <c r="Q43" s="101">
        <f t="shared" si="2"/>
        <v>573.21046047999994</v>
      </c>
      <c r="R43" s="317">
        <f>Q43/L43/1000000</f>
        <v>0.52312353055689975</v>
      </c>
      <c r="S43" s="136" t="s">
        <v>81</v>
      </c>
      <c r="T43" s="136" t="s">
        <v>77</v>
      </c>
      <c r="U43" s="233">
        <v>0.81041666666666667</v>
      </c>
      <c r="V43" s="222" t="str">
        <f t="shared" si="17"/>
        <v>G</v>
      </c>
      <c r="W43" s="259" t="s">
        <v>135</v>
      </c>
      <c r="X43" s="260"/>
      <c r="Y43" s="260"/>
      <c r="Z43" s="260"/>
      <c r="AA43" s="260"/>
      <c r="AB43" s="260"/>
      <c r="AC43" s="260"/>
      <c r="AD43" s="261"/>
    </row>
    <row r="44" spans="1:30" ht="14.25" x14ac:dyDescent="0.2">
      <c r="A44" s="172">
        <v>44</v>
      </c>
      <c r="B44" s="172" t="s">
        <v>84</v>
      </c>
      <c r="C44" s="172" t="s">
        <v>85</v>
      </c>
      <c r="D44" s="328">
        <f>IF(B44="A"&amp;core_data!$B$29,core_data!$F$29,"X")</f>
        <v>100.06666666666666</v>
      </c>
      <c r="E44" s="328">
        <f>IF(C44="B"&amp;core_data!$B$29,core_data!$J$29,"X")</f>
        <v>97.666666666666671</v>
      </c>
      <c r="F44" s="328">
        <f>IF(B44="A"&amp;core_data!$B29,core_data!$N29,"X")</f>
        <v>37.35</v>
      </c>
      <c r="G44" s="328">
        <f>IF(C44="B"&amp;core_data!$B29,core_data!$R29,"X")</f>
        <v>37.366666666666667</v>
      </c>
      <c r="H44" s="137">
        <v>43773</v>
      </c>
      <c r="I44" s="186">
        <v>43775</v>
      </c>
      <c r="J44" s="136">
        <v>-15</v>
      </c>
      <c r="K44" s="136">
        <v>10.01</v>
      </c>
      <c r="L44" s="174">
        <f>PI()*(AVERAGE(core_data!N29/1000,core_data!R29/1000)/2)^2</f>
        <v>1.0961370742963708E-3</v>
      </c>
      <c r="M44" s="210">
        <f>mass!B18+mass!C18+mass!D18+mass!E18+mass!K18+mass!N18+mass!O18+mass!F18+SUM(mass!G18:J18)+mass!F23+mass!G23+mass!H23+mass!I23+mass!J23</f>
        <v>54.657800000000002</v>
      </c>
      <c r="N44" s="136">
        <f>0.9295+0.9757+0.9086+0.2458</f>
        <v>3.0596000000000001</v>
      </c>
      <c r="O44" s="100">
        <f t="shared" ref="O44" si="26">N44+M44</f>
        <v>57.717400000000005</v>
      </c>
      <c r="P44" s="189">
        <f t="shared" si="1"/>
        <v>5.3010010845949397E-2</v>
      </c>
      <c r="Q44" s="101">
        <f t="shared" ref="Q44" si="27">O44*9.80665</f>
        <v>566.01434071000006</v>
      </c>
      <c r="R44" s="317">
        <f>Q44/L44/1000000</f>
        <v>0.51637186076689767</v>
      </c>
      <c r="S44" s="136" t="s">
        <v>81</v>
      </c>
      <c r="T44" s="136" t="s">
        <v>77</v>
      </c>
      <c r="U44" s="233">
        <v>0.83958333333333324</v>
      </c>
      <c r="V44" s="222" t="str">
        <f t="shared" si="17"/>
        <v>G</v>
      </c>
      <c r="W44" s="259" t="s">
        <v>135</v>
      </c>
      <c r="X44" s="260"/>
      <c r="Y44" s="260"/>
      <c r="Z44" s="260"/>
      <c r="AA44" s="260"/>
      <c r="AB44" s="260"/>
      <c r="AC44" s="260"/>
      <c r="AD44" s="261"/>
    </row>
    <row r="45" spans="1:30" ht="14.25" x14ac:dyDescent="0.2">
      <c r="A45" s="172">
        <v>45</v>
      </c>
      <c r="B45" s="94" t="s">
        <v>108</v>
      </c>
      <c r="C45" s="94" t="s">
        <v>109</v>
      </c>
      <c r="D45" s="328">
        <f>IF(B45="A"&amp;core_data!$B$30,core_data!$F$30,"X")</f>
        <v>102.02</v>
      </c>
      <c r="E45" s="328">
        <f>IF(C45="B"&amp;core_data!$B$30,core_data!$J$30,"X")</f>
        <v>102.01333333333334</v>
      </c>
      <c r="F45" s="328">
        <f>IF(B45="A"&amp;core_data!$B30,core_data!$N30,"X")</f>
        <v>37.423333333333332</v>
      </c>
      <c r="G45" s="328">
        <f>IF(C45="B"&amp;core_data!$B30,core_data!$R30,"X")</f>
        <v>37.403333333333336</v>
      </c>
      <c r="H45" s="137">
        <v>43773</v>
      </c>
      <c r="I45" s="186">
        <v>43775</v>
      </c>
      <c r="J45" s="136">
        <v>-15</v>
      </c>
      <c r="K45" s="136">
        <v>9.6300000000000008</v>
      </c>
      <c r="L45" s="174">
        <f>PI()*(AVERAGE(core_data!N30/1000,core_data!R30/1000)/2)^2</f>
        <v>1.0993669784284499E-3</v>
      </c>
      <c r="M45" s="210">
        <f>mass!B18+mass!C18+mass!D18+mass!E18+mass!K18+mass!N18+mass!O18+mass!F18+SUM(mass!G18:J18)+mass!F23+mass!G23+mass!H23+mass!I23+mass!J23+mass!K23</f>
        <v>55.723399999999998</v>
      </c>
      <c r="N45" s="136">
        <f>0.9341+0.9812+0.9083+0.8739+0.3835</f>
        <v>4.0809999999999995</v>
      </c>
      <c r="O45" s="100">
        <f t="shared" ref="O45" si="28">N45+M45</f>
        <v>59.804400000000001</v>
      </c>
      <c r="P45" s="189">
        <f t="shared" si="1"/>
        <v>6.8239126218137783E-2</v>
      </c>
      <c r="Q45" s="101">
        <f t="shared" ref="Q45" si="29">O45*9.80665</f>
        <v>586.48081925999998</v>
      </c>
      <c r="R45" s="317">
        <f>Q45/L45/1000000</f>
        <v>0.53347138013766515</v>
      </c>
      <c r="S45" s="136" t="s">
        <v>81</v>
      </c>
      <c r="T45" s="136" t="s">
        <v>77</v>
      </c>
      <c r="U45" s="233">
        <v>0.8534722222222223</v>
      </c>
      <c r="V45" s="222" t="str">
        <f t="shared" si="17"/>
        <v>G</v>
      </c>
      <c r="W45" s="259" t="s">
        <v>135</v>
      </c>
      <c r="X45" s="260"/>
      <c r="Y45" s="260"/>
      <c r="Z45" s="260"/>
      <c r="AA45" s="260"/>
      <c r="AB45" s="260"/>
      <c r="AC45" s="260"/>
      <c r="AD45" s="261"/>
    </row>
    <row r="46" spans="1:30" ht="14.25" x14ac:dyDescent="0.2">
      <c r="A46" s="172">
        <v>46</v>
      </c>
      <c r="B46" s="172" t="s">
        <v>110</v>
      </c>
      <c r="C46" s="172" t="s">
        <v>111</v>
      </c>
      <c r="D46" s="328">
        <f>IF(B46="A"&amp;core_data!$B$31,core_data!$F$31,"X")</f>
        <v>90.516666666666666</v>
      </c>
      <c r="E46" s="328">
        <f>IF(C46="B"&amp;core_data!$B$31,core_data!$J$31,"X")</f>
        <v>89.853333333333339</v>
      </c>
      <c r="F46" s="328">
        <f>IF(B46="A"&amp;core_data!$B31,core_data!$N31,"X")</f>
        <v>37.376666666666665</v>
      </c>
      <c r="G46" s="328">
        <f>IF(C46="B"&amp;core_data!$B31,core_data!$R31,"X")</f>
        <v>37.343333333333334</v>
      </c>
      <c r="H46" s="137">
        <v>43773</v>
      </c>
      <c r="I46" s="185">
        <v>43775</v>
      </c>
      <c r="J46" s="136">
        <v>-15</v>
      </c>
      <c r="K46" s="136">
        <v>9.67</v>
      </c>
      <c r="L46" s="174">
        <f>PI()*(AVERAGE(core_data!N31/1000,core_data!R31/1000)/2)^2</f>
        <v>1.0962348803659908E-3</v>
      </c>
      <c r="M46" s="210">
        <f>mass!B18+mass!C18+mass!D18+mass!E18+mass!K18+mass!N18+mass!O18+mass!F18+SUM(mass!G18:J18)+mass!F23+mass!G23+mass!H23+mass!I23+mass!J23+mass!K23+mass!L23</f>
        <v>56.800799999999995</v>
      </c>
      <c r="N46" s="136">
        <f>0.8926+0.6999+0.1261</f>
        <v>1.7185999999999999</v>
      </c>
      <c r="O46" s="100">
        <f t="shared" ref="O46" si="30">N46+M46</f>
        <v>58.519399999999997</v>
      </c>
      <c r="P46" s="189">
        <f t="shared" si="1"/>
        <v>2.9368038633342104E-2</v>
      </c>
      <c r="Q46" s="101">
        <f t="shared" ref="Q46" si="31">O46*9.80665</f>
        <v>573.8792740099999</v>
      </c>
      <c r="R46" s="317">
        <f>Q46/L46/1000000</f>
        <v>0.52350028656121905</v>
      </c>
      <c r="S46" s="136" t="s">
        <v>81</v>
      </c>
      <c r="T46" s="136" t="s">
        <v>82</v>
      </c>
      <c r="U46" s="233">
        <v>0.87986111111111109</v>
      </c>
      <c r="V46" s="222" t="str">
        <f t="shared" si="17"/>
        <v>G</v>
      </c>
      <c r="W46" s="259" t="s">
        <v>135</v>
      </c>
      <c r="X46" s="260"/>
      <c r="Y46" s="260"/>
      <c r="Z46" s="260"/>
      <c r="AA46" s="260"/>
      <c r="AB46" s="260"/>
      <c r="AC46" s="260"/>
      <c r="AD46" s="261"/>
    </row>
    <row r="47" spans="1:30" ht="14.25" x14ac:dyDescent="0.2">
      <c r="A47" s="122">
        <v>47</v>
      </c>
      <c r="B47" s="122" t="s">
        <v>13</v>
      </c>
      <c r="C47" s="122" t="s">
        <v>17</v>
      </c>
      <c r="D47" s="328">
        <f>IF(B47="A0"&amp;core_data!$B$20,core_data!$F$20,"X")</f>
        <v>93.096666666666678</v>
      </c>
      <c r="E47" s="328">
        <f>IF(C47="B0"&amp;core_data!$B$20,core_data!$J$20,"X")</f>
        <v>93.05</v>
      </c>
      <c r="F47" s="328">
        <f>IF(B47="A0"&amp;core_data!$B$20,core_data!$N$20,"X")</f>
        <v>37.286666666666669</v>
      </c>
      <c r="G47" s="328">
        <f>IF(C47="B0"&amp;core_data!$B$20,core_data!$R$20,"X")</f>
        <v>37.256666666666668</v>
      </c>
      <c r="H47" s="123">
        <v>43774</v>
      </c>
      <c r="I47" s="123">
        <v>43777</v>
      </c>
      <c r="J47" s="124">
        <v>-12.5</v>
      </c>
      <c r="K47" s="124">
        <v>9.9</v>
      </c>
      <c r="L47" s="126">
        <f>PI()*(AVERAGE(core_data!N20/1000,core_data!R20/1000)/2)^2</f>
        <v>1.0910571713353939E-3</v>
      </c>
      <c r="M47" s="212">
        <f>SUM(mass!C18:E18,mass!K18,mass!N18,mass!O18)+SUM(mass!F23:L23)+mass!B23</f>
        <v>41.901299999999999</v>
      </c>
      <c r="N47" s="124">
        <f>0.9885+0.998+0.999+0.3081</f>
        <v>3.2936000000000001</v>
      </c>
      <c r="O47" s="125">
        <f>M47+N47</f>
        <v>45.194899999999997</v>
      </c>
      <c r="P47" s="190">
        <f t="shared" si="1"/>
        <v>7.2875479312931327E-2</v>
      </c>
      <c r="Q47" s="130">
        <f t="shared" si="2"/>
        <v>443.21056608499993</v>
      </c>
      <c r="R47" s="324">
        <f t="shared" ref="R47:R53" si="32">Q47/L47/1000000</f>
        <v>0.40622121161857594</v>
      </c>
      <c r="S47" s="124" t="s">
        <v>81</v>
      </c>
      <c r="T47" s="124" t="s">
        <v>77</v>
      </c>
      <c r="U47" s="235">
        <v>0.59236111111111112</v>
      </c>
      <c r="V47" s="222" t="str">
        <f t="shared" si="17"/>
        <v>G</v>
      </c>
      <c r="W47" s="262" t="s">
        <v>136</v>
      </c>
      <c r="X47" s="263"/>
      <c r="Y47" s="263"/>
      <c r="Z47" s="263"/>
      <c r="AA47" s="263"/>
      <c r="AB47" s="263"/>
      <c r="AC47" s="263"/>
      <c r="AD47" s="263"/>
    </row>
    <row r="48" spans="1:30" ht="14.25" x14ac:dyDescent="0.2">
      <c r="A48" s="122">
        <v>48</v>
      </c>
      <c r="B48" s="122" t="s">
        <v>15</v>
      </c>
      <c r="C48" s="122" t="s">
        <v>18</v>
      </c>
      <c r="D48" s="328">
        <f>IF(B48="A0"&amp;core_data!$B$21,core_data!$F$21,"X")</f>
        <v>93.179999999999993</v>
      </c>
      <c r="E48" s="328">
        <f>IF(C48="B0"&amp;core_data!$B$21,core_data!$J$21,"X")</f>
        <v>92.759999999999991</v>
      </c>
      <c r="F48" s="328">
        <f>IF(B48="A0"&amp;core_data!$B$21,core_data!$N$21,"X")</f>
        <v>37.366666666666667</v>
      </c>
      <c r="G48" s="328">
        <f>IF(C48="B0"&amp;core_data!$B$21,core_data!$R$21,"X")</f>
        <v>37.216666666666669</v>
      </c>
      <c r="H48" s="123">
        <v>43774</v>
      </c>
      <c r="I48" s="123">
        <v>43777</v>
      </c>
      <c r="J48" s="124">
        <v>-12.5</v>
      </c>
      <c r="K48" s="124">
        <v>9.94</v>
      </c>
      <c r="L48" s="126">
        <f>PI()*(AVERAGE(core_data!N21/1000,core_data!R21/1000)/2)^2</f>
        <v>1.0922284094365296E-3</v>
      </c>
      <c r="M48" s="212">
        <f>SUM(mass!C18:E18,mass!K18,mass!N18,mass!O18)+SUM(mass!F23:L23)+mass!B23</f>
        <v>41.901299999999999</v>
      </c>
      <c r="N48" s="124">
        <f>0.9805+1.0132+0.9524+1.0081+1.0088+1.0022+0.22</f>
        <v>6.1852</v>
      </c>
      <c r="O48" s="125">
        <f t="shared" ref="O48:O53" si="33">M48+N48</f>
        <v>48.086500000000001</v>
      </c>
      <c r="P48" s="190">
        <f t="shared" si="1"/>
        <v>0.12862653759371134</v>
      </c>
      <c r="Q48" s="130">
        <f t="shared" si="2"/>
        <v>471.56747522499995</v>
      </c>
      <c r="R48" s="324">
        <f t="shared" si="32"/>
        <v>0.43174804020001384</v>
      </c>
      <c r="S48" s="124" t="s">
        <v>81</v>
      </c>
      <c r="T48" s="124" t="s">
        <v>77</v>
      </c>
      <c r="U48" s="235">
        <v>0.60486111111111118</v>
      </c>
      <c r="V48" s="222" t="str">
        <f t="shared" si="17"/>
        <v>G</v>
      </c>
      <c r="W48" s="262" t="s">
        <v>136</v>
      </c>
      <c r="X48" s="263"/>
      <c r="Y48" s="263"/>
      <c r="Z48" s="263"/>
      <c r="AA48" s="263"/>
      <c r="AB48" s="263"/>
      <c r="AC48" s="263"/>
      <c r="AD48" s="263"/>
    </row>
    <row r="49" spans="1:30" ht="14.25" x14ac:dyDescent="0.2">
      <c r="A49" s="122">
        <v>49</v>
      </c>
      <c r="B49" s="122" t="s">
        <v>91</v>
      </c>
      <c r="C49" s="122" t="s">
        <v>92</v>
      </c>
      <c r="D49" s="328">
        <f>IF(B49="A0"&amp;core_data!$B$22,core_data!$F$22,"X")</f>
        <v>94.673333333333332</v>
      </c>
      <c r="E49" s="328">
        <f>IF(C49="B0"&amp;core_data!$B$22,core_data!$J$22,"X")</f>
        <v>95.55</v>
      </c>
      <c r="F49" s="328">
        <f>IF(B49="A0"&amp;core_data!$B$22,core_data!$N$22,"X")</f>
        <v>37.373333333333335</v>
      </c>
      <c r="G49" s="328">
        <f>IF(C49="B0"&amp;core_data!$B$22,core_data!$R$22,"X")</f>
        <v>37.333333333333336</v>
      </c>
      <c r="H49" s="123">
        <v>43774</v>
      </c>
      <c r="I49" s="123">
        <v>43777</v>
      </c>
      <c r="J49" s="124">
        <v>-12.5</v>
      </c>
      <c r="K49" s="124">
        <v>10.1</v>
      </c>
      <c r="L49" s="126">
        <f>PI()*(AVERAGE(core_data!N22/1000,core_data!R22/1000)/2)^2</f>
        <v>1.0958436822674491E-3</v>
      </c>
      <c r="M49" s="212">
        <f>SUM(mass!C18:E18,mass!K18,mass!N18,mass!O18)+SUM(mass!F23:L23)+mass!B23</f>
        <v>41.901299999999999</v>
      </c>
      <c r="N49" s="124">
        <f>4.72+SUM(mass!G18:J18)+SUM(mass!B23:D23)+0.882+0.9209+1.0106+1.0155+0.9685+1.029+0.5315</f>
        <v>22.855999999999998</v>
      </c>
      <c r="O49" s="125">
        <f t="shared" si="33"/>
        <v>64.757300000000001</v>
      </c>
      <c r="P49" s="190">
        <f t="shared" si="1"/>
        <v>0.35294862509709329</v>
      </c>
      <c r="Q49" s="130">
        <f t="shared" si="2"/>
        <v>635.05217604500001</v>
      </c>
      <c r="R49" s="325">
        <f t="shared" si="32"/>
        <v>0.57950982089981207</v>
      </c>
      <c r="S49" s="124" t="s">
        <v>81</v>
      </c>
      <c r="T49" s="124" t="s">
        <v>77</v>
      </c>
      <c r="U49" s="235">
        <v>0.62777777777777777</v>
      </c>
      <c r="V49" s="222" t="str">
        <f t="shared" si="17"/>
        <v>G</v>
      </c>
      <c r="W49" s="262" t="s">
        <v>137</v>
      </c>
      <c r="X49" s="263"/>
      <c r="Y49" s="263"/>
      <c r="Z49" s="263"/>
      <c r="AA49" s="263"/>
      <c r="AB49" s="263"/>
      <c r="AC49" s="263"/>
      <c r="AD49" s="263"/>
    </row>
    <row r="50" spans="1:30" ht="14.25" x14ac:dyDescent="0.2">
      <c r="A50" s="122">
        <v>50</v>
      </c>
      <c r="B50" s="122" t="s">
        <v>94</v>
      </c>
      <c r="C50" s="122" t="s">
        <v>95</v>
      </c>
      <c r="D50" s="328">
        <f>IF(B50="A0"&amp;core_data!$B$23,core_data!$F$23,"X")</f>
        <v>94.280000000000015</v>
      </c>
      <c r="E50" s="328">
        <f>IF(C50="B0"&amp;core_data!$B$23,core_data!$J$23,"X")</f>
        <v>94.649999999999991</v>
      </c>
      <c r="F50" s="328">
        <f>IF(B50="A0"&amp;core_data!$B$23,core_data!$N$23,"X")</f>
        <v>37.330000000000005</v>
      </c>
      <c r="G50" s="328">
        <f>IF(C50="B0"&amp;core_data!$B$23,core_data!$R$23,"X")</f>
        <v>37.36333333333333</v>
      </c>
      <c r="H50" s="123">
        <v>43774</v>
      </c>
      <c r="I50" s="123">
        <v>43777</v>
      </c>
      <c r="J50" s="124">
        <v>-12.5</v>
      </c>
      <c r="K50" s="124">
        <v>9.9600000000000009</v>
      </c>
      <c r="L50" s="126">
        <f>PI()*(AVERAGE(core_data!N23/1000,core_data!R23/1000)/2)^2</f>
        <v>1.095452553982077E-3</v>
      </c>
      <c r="M50" s="212">
        <f>SUM(mass!C18:E18,mass!K18,mass!N18,mass!O18)+SUM(mass!F23:L23)+mass!B23+mass!H18+mass!J18</f>
        <v>44.055300000000003</v>
      </c>
      <c r="N50" s="124">
        <f>SUM(mass!C23:E23,mass!G18,mass!I18)+0.9409+0.9668+0.993+0.9956+0.9864+0.9389+0.5421</f>
        <v>15.982699999999999</v>
      </c>
      <c r="O50" s="125">
        <f t="shared" si="33"/>
        <v>60.038000000000004</v>
      </c>
      <c r="P50" s="190">
        <f t="shared" si="1"/>
        <v>0.26620973383523766</v>
      </c>
      <c r="Q50" s="130">
        <f t="shared" si="2"/>
        <v>588.7716527</v>
      </c>
      <c r="R50" s="325">
        <f t="shared" si="32"/>
        <v>0.53746887581735747</v>
      </c>
      <c r="S50" s="124" t="s">
        <v>81</v>
      </c>
      <c r="T50" s="124" t="s">
        <v>77</v>
      </c>
      <c r="U50" s="235">
        <v>0.66180555555555554</v>
      </c>
      <c r="V50" s="222" t="str">
        <f t="shared" si="17"/>
        <v>G</v>
      </c>
      <c r="W50" s="262" t="s">
        <v>138</v>
      </c>
      <c r="X50" s="263"/>
      <c r="Y50" s="263"/>
      <c r="Z50" s="263"/>
      <c r="AA50" s="263"/>
      <c r="AB50" s="263"/>
      <c r="AC50" s="263"/>
      <c r="AD50" s="263"/>
    </row>
    <row r="51" spans="1:30" ht="14.25" x14ac:dyDescent="0.2">
      <c r="A51" s="122">
        <v>51</v>
      </c>
      <c r="B51" s="122" t="s">
        <v>112</v>
      </c>
      <c r="C51" s="122" t="s">
        <v>113</v>
      </c>
      <c r="D51" s="328">
        <f>IF(B51="A"&amp;core_data!$B$32,core_data!$F$32,"X")</f>
        <v>96.176666666666662</v>
      </c>
      <c r="E51" s="328">
        <f>IF(C51="B"&amp;core_data!$B$32,core_data!$J$32,"X")</f>
        <v>94.953333333333333</v>
      </c>
      <c r="F51" s="328">
        <f>IF(B51="A"&amp;core_data!$B$32,core_data!$N$32,"X")</f>
        <v>37.393333333333338</v>
      </c>
      <c r="G51" s="328">
        <f>IF(C51="B"&amp;core_data!$B$32,core_data!$R$32,"X")</f>
        <v>37.330000000000005</v>
      </c>
      <c r="H51" s="123">
        <v>43774</v>
      </c>
      <c r="I51" s="123">
        <v>43777</v>
      </c>
      <c r="J51" s="124">
        <v>-12.5</v>
      </c>
      <c r="K51" s="124">
        <v>10.039999999999999</v>
      </c>
      <c r="L51" s="126">
        <f>PI()*(AVERAGE(core_data!N32/1000,core_data!R32/1000)/2)^2</f>
        <v>1.0963326907989345E-3</v>
      </c>
      <c r="M51" s="212">
        <f>SUM(mass!B18:O18)+mass!F23+mass!G23</f>
        <v>51.434699999999999</v>
      </c>
      <c r="N51" s="124">
        <f>SUM(mass!B23,mass!D23:E23,mass!H23:L23)+0.9898+0.9959+0.9537+0.9834+0.9357+0.9029+0.5966</f>
        <v>19.174099999999999</v>
      </c>
      <c r="O51" s="125">
        <f t="shared" si="33"/>
        <v>70.608800000000002</v>
      </c>
      <c r="P51" s="190">
        <f t="shared" si="1"/>
        <v>0.27155397060989561</v>
      </c>
      <c r="Q51" s="130">
        <f t="shared" si="2"/>
        <v>692.43578851999996</v>
      </c>
      <c r="R51" s="325">
        <f t="shared" si="32"/>
        <v>0.63159275859538466</v>
      </c>
      <c r="S51" s="124" t="s">
        <v>81</v>
      </c>
      <c r="T51" s="124" t="s">
        <v>82</v>
      </c>
      <c r="U51" s="235">
        <v>0.6972222222222223</v>
      </c>
      <c r="V51" s="222" t="str">
        <f t="shared" si="17"/>
        <v>G</v>
      </c>
      <c r="W51" s="262" t="s">
        <v>139</v>
      </c>
      <c r="X51" s="263"/>
      <c r="Y51" s="263"/>
      <c r="Z51" s="263"/>
      <c r="AA51" s="263"/>
      <c r="AB51" s="263"/>
      <c r="AC51" s="263"/>
      <c r="AD51" s="263"/>
    </row>
    <row r="52" spans="1:30" ht="14.25" x14ac:dyDescent="0.2">
      <c r="A52" s="122">
        <v>52</v>
      </c>
      <c r="B52" s="122" t="s">
        <v>116</v>
      </c>
      <c r="C52" s="122" t="s">
        <v>117</v>
      </c>
      <c r="D52" s="328">
        <f>IF(B52="A"&amp;core_data!$B$33,core_data!$F$33,"X")</f>
        <v>96.52</v>
      </c>
      <c r="E52" s="328">
        <f>IF(C52="B"&amp;core_data!$B$33,core_data!$J$33,"X")</f>
        <v>97.326666666666668</v>
      </c>
      <c r="F52" s="328">
        <f>IF(B52="A"&amp;core_data!$B$33,core_data!$N$33,"X")</f>
        <v>37.22</v>
      </c>
      <c r="G52" s="328">
        <f>IF(C52="B"&amp;core_data!$B$33,core_data!$R$33,"X")</f>
        <v>37.270000000000003</v>
      </c>
      <c r="H52" s="123">
        <v>43774</v>
      </c>
      <c r="I52" s="123">
        <v>43777</v>
      </c>
      <c r="J52" s="124">
        <v>-12.5</v>
      </c>
      <c r="K52" s="124">
        <v>10.029999999999999</v>
      </c>
      <c r="L52" s="126">
        <f>PI()*(AVERAGE(core_data!N33/1000,core_data!R33/1000)/2)^2</f>
        <v>1.0894964979182604E-3</v>
      </c>
      <c r="M52" s="212">
        <f>SUM(mass!B18:N18,mass!B23:G23)+mass!M23</f>
        <v>61.670499999999997</v>
      </c>
      <c r="N52" s="124">
        <v>0.79520000000000002</v>
      </c>
      <c r="O52" s="125">
        <f t="shared" si="33"/>
        <v>62.465699999999998</v>
      </c>
      <c r="P52" s="190">
        <f t="shared" si="1"/>
        <v>1.273018632625585E-2</v>
      </c>
      <c r="Q52" s="130">
        <f t="shared" si="2"/>
        <v>612.57925690499997</v>
      </c>
      <c r="R52" s="325">
        <f t="shared" si="32"/>
        <v>0.56225904174586783</v>
      </c>
      <c r="S52" s="124" t="s">
        <v>81</v>
      </c>
      <c r="T52" s="124" t="s">
        <v>140</v>
      </c>
      <c r="U52" s="235">
        <v>0.72569444444444453</v>
      </c>
      <c r="V52" s="222" t="str">
        <f t="shared" si="17"/>
        <v>G</v>
      </c>
      <c r="W52" s="262" t="s">
        <v>141</v>
      </c>
      <c r="X52" s="263"/>
      <c r="Y52" s="263"/>
      <c r="Z52" s="263"/>
      <c r="AA52" s="263"/>
      <c r="AB52" s="263"/>
      <c r="AC52" s="263"/>
      <c r="AD52" s="263"/>
    </row>
    <row r="53" spans="1:30" ht="14.25" x14ac:dyDescent="0.2">
      <c r="A53" s="122">
        <v>53</v>
      </c>
      <c r="B53" s="122" t="s">
        <v>79</v>
      </c>
      <c r="C53" s="122" t="s">
        <v>80</v>
      </c>
      <c r="D53" s="328">
        <f>IF(B53="A"&amp;core_data!$B$34,core_data!$F$34,"X")</f>
        <v>98.8</v>
      </c>
      <c r="E53" s="328">
        <f>IF(C53="B"&amp;core_data!$B$34,core_data!$J$34,"X")</f>
        <v>98.813333333333333</v>
      </c>
      <c r="F53" s="328">
        <f>IF(B53="A"&amp;core_data!$B$34,core_data!$N$34,"X")</f>
        <v>37.373333333333335</v>
      </c>
      <c r="G53" s="328">
        <f>IF(C53="B"&amp;core_data!$B$34,core_data!$R$34,"X")</f>
        <v>37.416666666666664</v>
      </c>
      <c r="H53" s="123">
        <v>43774</v>
      </c>
      <c r="I53" s="123">
        <v>43777</v>
      </c>
      <c r="J53" s="124">
        <v>-12.5</v>
      </c>
      <c r="K53" s="125">
        <v>10</v>
      </c>
      <c r="L53" s="126">
        <f>PI()*(AVERAGE(core_data!N34/1000,core_data!R34/1000)/2)^2</f>
        <v>1.098289815755658E-3</v>
      </c>
      <c r="M53" s="212">
        <f>SUM(mass!B18:N18,mass!B23:G23)+mass!M23</f>
        <v>61.670499999999997</v>
      </c>
      <c r="N53" s="124">
        <f>0.9733+0.9658+0.9303+0.4745</f>
        <v>3.3439000000000001</v>
      </c>
      <c r="O53" s="125">
        <f t="shared" si="33"/>
        <v>65.014399999999995</v>
      </c>
      <c r="P53" s="190">
        <f t="shared" si="1"/>
        <v>5.143322094797461E-2</v>
      </c>
      <c r="Q53" s="130">
        <f t="shared" si="2"/>
        <v>637.57346575999986</v>
      </c>
      <c r="R53" s="325">
        <f t="shared" si="32"/>
        <v>0.58051477543869345</v>
      </c>
      <c r="S53" s="124" t="s">
        <v>81</v>
      </c>
      <c r="T53" s="124" t="s">
        <v>77</v>
      </c>
      <c r="U53" s="235">
        <v>0.7368055555555556</v>
      </c>
      <c r="V53" s="222" t="str">
        <f t="shared" si="17"/>
        <v>G</v>
      </c>
      <c r="W53" s="262" t="s">
        <v>142</v>
      </c>
      <c r="X53" s="263"/>
      <c r="Y53" s="263"/>
      <c r="Z53" s="263"/>
      <c r="AA53" s="263"/>
      <c r="AB53" s="263"/>
      <c r="AC53" s="263"/>
      <c r="AD53" s="263"/>
    </row>
    <row r="54" spans="1:30" ht="14.25" x14ac:dyDescent="0.2">
      <c r="A54" s="94">
        <v>54</v>
      </c>
      <c r="B54" s="94" t="s">
        <v>97</v>
      </c>
      <c r="C54" s="94" t="s">
        <v>98</v>
      </c>
      <c r="D54" s="328">
        <f>IF(B54="A0"&amp;core_data!$B$24,core_data!$F$24,"X")</f>
        <v>97.813333333333333</v>
      </c>
      <c r="E54" s="328">
        <f>IF(C54="B0"&amp;core_data!$B$24,core_data!$J$24,"X")</f>
        <v>98.403333333333322</v>
      </c>
      <c r="F54" s="328">
        <f>IF(B54="A0"&amp;core_data!$B$24,core_data!$N$24,"X")</f>
        <v>37.406666666666666</v>
      </c>
      <c r="G54" s="328">
        <f>IF(C54="B0"&amp;core_data!$B$24,core_data!$R$24,"X")</f>
        <v>37.346666666666671</v>
      </c>
      <c r="H54" s="137">
        <v>43777</v>
      </c>
      <c r="I54" s="137">
        <v>43779</v>
      </c>
      <c r="J54" s="136">
        <v>-7.5</v>
      </c>
      <c r="K54" s="136">
        <v>10.53</v>
      </c>
      <c r="L54" s="98">
        <f>PI()*(AVERAGE(core_data!N24/1000,core_data!R24/1000)/2)^2</f>
        <v>1.0972131810449654E-3</v>
      </c>
      <c r="M54" s="213">
        <f>SUM(mass!B18:'mass'!E18,mass!K18,mass!N18,mass!M23)</f>
        <v>41.663899999999998</v>
      </c>
      <c r="N54" s="96">
        <f>0.9354+0.9806+0.4861+mass!G23+mass!I23</f>
        <v>4.5452999999999992</v>
      </c>
      <c r="O54" s="100">
        <f t="shared" ref="O54" si="34">N54+M54</f>
        <v>46.209199999999996</v>
      </c>
      <c r="P54" s="201">
        <f t="shared" ref="P54" si="35">N54/O54</f>
        <v>9.8363529340477651E-2</v>
      </c>
      <c r="Q54" s="101">
        <f t="shared" si="2"/>
        <v>453.15745117999995</v>
      </c>
      <c r="R54" s="317">
        <f>Q54/L54/1000000</f>
        <v>0.41300766251132826</v>
      </c>
      <c r="S54" s="96" t="s">
        <v>81</v>
      </c>
      <c r="T54" s="96" t="s">
        <v>77</v>
      </c>
      <c r="U54" s="236">
        <v>0.66805555555555562</v>
      </c>
      <c r="V54" s="222" t="str">
        <f t="shared" si="17"/>
        <v>G</v>
      </c>
      <c r="W54" s="276" t="s">
        <v>143</v>
      </c>
      <c r="X54" s="277"/>
      <c r="Y54" s="277"/>
      <c r="Z54" s="277"/>
      <c r="AA54" s="277"/>
      <c r="AB54" s="277"/>
      <c r="AC54" s="277"/>
      <c r="AD54" s="277"/>
    </row>
    <row r="55" spans="1:30" ht="14.25" x14ac:dyDescent="0.2">
      <c r="A55" s="94">
        <v>55</v>
      </c>
      <c r="B55" s="172" t="s">
        <v>100</v>
      </c>
      <c r="C55" s="172" t="s">
        <v>101</v>
      </c>
      <c r="D55" s="328">
        <f>IF(B55="A0"&amp;core_data!$B$25,core_data!$F$25,"X")</f>
        <v>93.926666666666662</v>
      </c>
      <c r="E55" s="328">
        <f>IF(C55="B0"&amp;core_data!$B$25,core_data!$J$25,"X")</f>
        <v>93.243333333333325</v>
      </c>
      <c r="F55" s="328">
        <f>IF(B55="A0"&amp;core_data!$B$25,core_data!$N$25,"X")</f>
        <v>37.336666666666666</v>
      </c>
      <c r="G55" s="328">
        <f>IF(C55="B0"&amp;core_data!$B$25,core_data!$R$25,"X")</f>
        <v>37.26</v>
      </c>
      <c r="H55" s="137">
        <v>43777</v>
      </c>
      <c r="I55" s="137">
        <v>43779</v>
      </c>
      <c r="J55" s="136">
        <v>-7.5</v>
      </c>
      <c r="K55" s="136">
        <v>10.050000000000001</v>
      </c>
      <c r="L55" s="98">
        <f>PI()*(AVERAGE(core_data!N25/1000,core_data!R25/1000)/2)^2</f>
        <v>1.0926189617632485E-3</v>
      </c>
      <c r="M55" s="213">
        <f>SUM(mass!B18:'mass'!E18,mass!K18,mass!N18,mass!M23)+mass!G23+mass!I23</f>
        <v>43.807099999999998</v>
      </c>
      <c r="N55" s="135"/>
      <c r="O55" s="133" t="s">
        <v>88</v>
      </c>
      <c r="P55" s="134" t="s">
        <v>88</v>
      </c>
      <c r="Q55" s="134" t="s">
        <v>88</v>
      </c>
      <c r="R55" s="318"/>
      <c r="S55" s="96" t="s">
        <v>81</v>
      </c>
      <c r="T55" s="96" t="s">
        <v>77</v>
      </c>
      <c r="U55" s="236">
        <v>0.68125000000000002</v>
      </c>
      <c r="V55" s="222" t="str">
        <f t="shared" si="17"/>
        <v>B</v>
      </c>
      <c r="W55" s="276" t="s">
        <v>143</v>
      </c>
      <c r="X55" s="277"/>
      <c r="Y55" s="277"/>
      <c r="Z55" s="277"/>
      <c r="AA55" s="277"/>
      <c r="AB55" s="277"/>
      <c r="AC55" s="277"/>
      <c r="AD55" s="277"/>
    </row>
    <row r="56" spans="1:30" ht="14.25" x14ac:dyDescent="0.2">
      <c r="A56" s="94">
        <v>56</v>
      </c>
      <c r="B56" s="94" t="s">
        <v>102</v>
      </c>
      <c r="C56" s="94" t="s">
        <v>103</v>
      </c>
      <c r="D56" s="328">
        <f>IF(B56="A0"&amp;core_data!$B$26,core_data!$F$26,"X")</f>
        <v>89.399999999999991</v>
      </c>
      <c r="E56" s="328">
        <f>IF(C56="B0"&amp;core_data!$B$26,core_data!$J$26,"X")</f>
        <v>91.606666666666669</v>
      </c>
      <c r="F56" s="328">
        <f>IF(B56="A0"&amp;core_data!$B$26,core_data!$N$26,"X")</f>
        <v>37.353333333333332</v>
      </c>
      <c r="G56" s="328">
        <f>IF(C56="B0"&amp;core_data!$B$26,core_data!$R$26,"X")</f>
        <v>37.360000000000007</v>
      </c>
      <c r="H56" s="137">
        <v>43777</v>
      </c>
      <c r="I56" s="137">
        <v>43779</v>
      </c>
      <c r="J56" s="136">
        <v>-7.5</v>
      </c>
      <c r="K56" s="136">
        <v>10.66</v>
      </c>
      <c r="L56" s="98">
        <f>PI()*(AVERAGE(core_data!N26/1000,core_data!R26/1000)/2)^2</f>
        <v>1.0960392725900734E-3</v>
      </c>
      <c r="M56" s="213">
        <f>SUM(mass!B18:'mass'!E18,mass!K18,mass!N18,mass!M23)</f>
        <v>41.663899999999998</v>
      </c>
      <c r="N56" s="96">
        <f>0.9528+0.9853+0.9826+0.9902+0.079</f>
        <v>3.9899</v>
      </c>
      <c r="O56" s="100">
        <f t="shared" ref="O56:O61" si="36">N56+M56</f>
        <v>45.653799999999997</v>
      </c>
      <c r="P56" s="201">
        <f t="shared" ref="P56:P69" si="37">N56/O56</f>
        <v>8.7394696607949393E-2</v>
      </c>
      <c r="Q56" s="101">
        <f t="shared" ref="Q56:Q69" si="38">O56*9.80665</f>
        <v>447.71083776999996</v>
      </c>
      <c r="R56" s="317">
        <f t="shared" ref="R56:R68" si="39">Q56/L56/1000000</f>
        <v>0.40848065298974656</v>
      </c>
      <c r="S56" s="96" t="s">
        <v>81</v>
      </c>
      <c r="T56" s="96" t="s">
        <v>77</v>
      </c>
      <c r="U56" s="236">
        <v>0.68888888888888899</v>
      </c>
      <c r="V56" s="222" t="str">
        <f t="shared" si="17"/>
        <v>G</v>
      </c>
      <c r="W56" s="276" t="s">
        <v>144</v>
      </c>
      <c r="X56" s="277"/>
      <c r="Y56" s="277"/>
      <c r="Z56" s="277"/>
      <c r="AA56" s="277"/>
      <c r="AB56" s="277"/>
      <c r="AC56" s="277"/>
      <c r="AD56" s="277"/>
    </row>
    <row r="57" spans="1:30" ht="14.25" x14ac:dyDescent="0.2">
      <c r="A57" s="94">
        <v>57</v>
      </c>
      <c r="B57" s="172" t="s">
        <v>104</v>
      </c>
      <c r="C57" s="172" t="s">
        <v>105</v>
      </c>
      <c r="D57" s="328">
        <f>IF(B57="A0"&amp;core_data!$B$27,core_data!$F$27,"X")</f>
        <v>90.696666666666673</v>
      </c>
      <c r="E57" s="328">
        <f>IF(C57="B0"&amp;core_data!$B$27,core_data!$J$27,"X")</f>
        <v>89.473333333333343</v>
      </c>
      <c r="F57" s="328">
        <f>IF(B57="A0"&amp;core_data!$B$27,core_data!$N$27,"X")</f>
        <v>37.346666666666671</v>
      </c>
      <c r="G57" s="328">
        <f>IF(C57="B0"&amp;core_data!$B$27,core_data!$R$27,"X")</f>
        <v>37.360000000000007</v>
      </c>
      <c r="H57" s="137">
        <v>43777</v>
      </c>
      <c r="I57" s="137">
        <v>43779</v>
      </c>
      <c r="J57" s="136">
        <v>-7.5</v>
      </c>
      <c r="K57" s="181"/>
      <c r="L57" s="98">
        <f>PI()*(AVERAGE(core_data!N27/1000,core_data!R27/1000)/2)^2</f>
        <v>1.0958436822674491E-3</v>
      </c>
      <c r="M57" s="213">
        <f>SUM(mass!B18:'mass'!E18,mass!K18,mass!N18,mass!M23)</f>
        <v>41.663899999999998</v>
      </c>
      <c r="N57" s="135"/>
      <c r="O57" s="133" t="s">
        <v>88</v>
      </c>
      <c r="P57" s="134" t="s">
        <v>88</v>
      </c>
      <c r="Q57" s="134" t="s">
        <v>88</v>
      </c>
      <c r="R57" s="318"/>
      <c r="S57" s="96" t="s">
        <v>81</v>
      </c>
      <c r="T57" s="96" t="s">
        <v>77</v>
      </c>
      <c r="U57" s="236">
        <v>0.69930555555555562</v>
      </c>
      <c r="V57" s="222" t="str">
        <f t="shared" si="17"/>
        <v>B</v>
      </c>
      <c r="W57" s="276" t="s">
        <v>143</v>
      </c>
      <c r="X57" s="277"/>
      <c r="Y57" s="277"/>
      <c r="Z57" s="277"/>
      <c r="AA57" s="277"/>
      <c r="AB57" s="277"/>
      <c r="AC57" s="277"/>
      <c r="AD57" s="277"/>
    </row>
    <row r="58" spans="1:30" ht="14.25" x14ac:dyDescent="0.2">
      <c r="A58" s="94">
        <v>58</v>
      </c>
      <c r="B58" s="94" t="s">
        <v>106</v>
      </c>
      <c r="C58" s="94" t="s">
        <v>107</v>
      </c>
      <c r="D58" s="328">
        <f>IF(B58="A0"&amp;core_data!$B$28,core_data!$F$28,"X")</f>
        <v>83.17</v>
      </c>
      <c r="E58" s="328">
        <f>IF(C58="B0"&amp;core_data!$B$28,core_data!$J$28,"X")</f>
        <v>88.483333333333334</v>
      </c>
      <c r="F58" s="328">
        <f>IF(B58="A0"&amp;core_data!$B$28,core_data!$N$28,"X")</f>
        <v>37.356666666666669</v>
      </c>
      <c r="G58" s="328">
        <f>IF(C58="B0"&amp;core_data!$B$28,core_data!$R$28,"X")</f>
        <v>37.346666666666664</v>
      </c>
      <c r="H58" s="137">
        <v>43777</v>
      </c>
      <c r="I58" s="137">
        <v>43779</v>
      </c>
      <c r="J58" s="136">
        <v>-7.5</v>
      </c>
      <c r="K58" s="136">
        <v>10.08</v>
      </c>
      <c r="L58" s="98">
        <f>PI()*(AVERAGE(core_data!N28/1000,core_data!R28/1000)/2)^2</f>
        <v>1.0957458936511216E-3</v>
      </c>
      <c r="M58" s="213">
        <f>SUM(mass!B18:'mass'!E18,mass!K18,mass!N18,mass!M23)</f>
        <v>41.663899999999998</v>
      </c>
      <c r="N58" s="96">
        <v>0.94279999999999997</v>
      </c>
      <c r="O58" s="100">
        <f t="shared" si="36"/>
        <v>42.606699999999996</v>
      </c>
      <c r="P58" s="201">
        <f t="shared" si="37"/>
        <v>2.2127975177612912E-2</v>
      </c>
      <c r="Q58" s="101">
        <f t="shared" si="38"/>
        <v>417.82899455499995</v>
      </c>
      <c r="R58" s="317">
        <f t="shared" si="39"/>
        <v>0.38131924287916524</v>
      </c>
      <c r="S58" s="96" t="s">
        <v>81</v>
      </c>
      <c r="T58" s="96" t="s">
        <v>77</v>
      </c>
      <c r="U58" s="236">
        <v>0.70277777777777783</v>
      </c>
      <c r="V58" s="222" t="str">
        <f t="shared" si="17"/>
        <v>G</v>
      </c>
      <c r="W58" s="276" t="s">
        <v>143</v>
      </c>
      <c r="X58" s="277"/>
      <c r="Y58" s="277"/>
      <c r="Z58" s="277"/>
      <c r="AA58" s="277"/>
      <c r="AB58" s="277"/>
      <c r="AC58" s="277"/>
      <c r="AD58" s="277"/>
    </row>
    <row r="59" spans="1:30" ht="14.25" x14ac:dyDescent="0.2">
      <c r="A59" s="94">
        <v>59</v>
      </c>
      <c r="B59" s="172" t="s">
        <v>84</v>
      </c>
      <c r="C59" s="172" t="s">
        <v>85</v>
      </c>
      <c r="D59" s="328">
        <f>IF(B59="A"&amp;core_data!$B$29,core_data!$F$29,"X")</f>
        <v>100.06666666666666</v>
      </c>
      <c r="E59" s="328">
        <f>IF(C59="B"&amp;core_data!$B$29,core_data!$J$29,"X")</f>
        <v>97.666666666666671</v>
      </c>
      <c r="F59" s="328">
        <f>IF(B59="A"&amp;core_data!$B$29,core_data!$N$29,"X")</f>
        <v>37.35</v>
      </c>
      <c r="G59" s="328">
        <f>IF(C59="B"&amp;core_data!$B$29,core_data!$R$29,"X")</f>
        <v>37.366666666666667</v>
      </c>
      <c r="H59" s="137">
        <v>43777</v>
      </c>
      <c r="I59" s="137">
        <v>43779</v>
      </c>
      <c r="J59" s="136">
        <v>-7.5</v>
      </c>
      <c r="K59" s="136">
        <v>10.39</v>
      </c>
      <c r="L59" s="98">
        <f>PI()*(AVERAGE(core_data!N29/1000,core_data!R29/1000)/2)^2</f>
        <v>1.0961370742963708E-3</v>
      </c>
      <c r="M59" s="213">
        <f>SUM(mass!B18:'mass'!E18,mass!K18,mass!N18,mass!M23)</f>
        <v>41.663899999999998</v>
      </c>
      <c r="N59" s="96">
        <v>0.59440000000000004</v>
      </c>
      <c r="O59" s="100">
        <f t="shared" si="36"/>
        <v>42.258299999999998</v>
      </c>
      <c r="P59" s="201">
        <f t="shared" si="37"/>
        <v>1.4065875816111866E-2</v>
      </c>
      <c r="Q59" s="101">
        <f t="shared" si="38"/>
        <v>414.41235769499997</v>
      </c>
      <c r="R59" s="317">
        <f t="shared" si="39"/>
        <v>0.37806618114893925</v>
      </c>
      <c r="S59" s="96" t="s">
        <v>81</v>
      </c>
      <c r="T59" s="96" t="s">
        <v>77</v>
      </c>
      <c r="U59" s="236">
        <v>0.71111111111111114</v>
      </c>
      <c r="V59" s="222" t="str">
        <f t="shared" si="17"/>
        <v>G</v>
      </c>
      <c r="W59" s="276" t="s">
        <v>143</v>
      </c>
      <c r="X59" s="277"/>
      <c r="Y59" s="277"/>
      <c r="Z59" s="277"/>
      <c r="AA59" s="277"/>
      <c r="AB59" s="277"/>
      <c r="AC59" s="277"/>
      <c r="AD59" s="277"/>
    </row>
    <row r="60" spans="1:30" ht="14.25" x14ac:dyDescent="0.2">
      <c r="A60" s="94">
        <v>60</v>
      </c>
      <c r="B60" s="94" t="s">
        <v>108</v>
      </c>
      <c r="C60" s="94" t="s">
        <v>109</v>
      </c>
      <c r="D60" s="328">
        <f>IF(B60="A"&amp;core_data!$B$30,core_data!$F$30,"X")</f>
        <v>102.02</v>
      </c>
      <c r="E60" s="328">
        <f>IF(C60="B"&amp;core_data!$B$30,core_data!$J$30,"X")</f>
        <v>102.01333333333334</v>
      </c>
      <c r="F60" s="328">
        <f>IF(B60="A"&amp;core_data!$B$30,core_data!$N$30,"X")</f>
        <v>37.423333333333332</v>
      </c>
      <c r="G60" s="328">
        <f>IF(C60="B"&amp;core_data!$B$30,core_data!$R$30,"X")</f>
        <v>37.403333333333336</v>
      </c>
      <c r="H60" s="137">
        <v>43777</v>
      </c>
      <c r="I60" s="137">
        <v>43779</v>
      </c>
      <c r="J60" s="136">
        <v>-7.5</v>
      </c>
      <c r="K60" s="181"/>
      <c r="L60" s="98">
        <f>PI()*(AVERAGE(core_data!N30/1000,core_data!R30/1000)/2)^2</f>
        <v>1.0993669784284499E-3</v>
      </c>
      <c r="M60" s="213">
        <f>SUM(mass!B18:'mass'!E18,mass!K18,mass!N18,mass!M23)</f>
        <v>41.663899999999998</v>
      </c>
      <c r="N60" s="135"/>
      <c r="O60" s="133" t="s">
        <v>88</v>
      </c>
      <c r="P60" s="134" t="s">
        <v>88</v>
      </c>
      <c r="Q60" s="134" t="s">
        <v>88</v>
      </c>
      <c r="R60" s="318"/>
      <c r="S60" s="96" t="s">
        <v>81</v>
      </c>
      <c r="T60" s="96" t="s">
        <v>77</v>
      </c>
      <c r="U60" s="236">
        <v>0.71944444444444444</v>
      </c>
      <c r="V60" s="222" t="str">
        <f t="shared" si="17"/>
        <v>B</v>
      </c>
      <c r="W60" s="276" t="s">
        <v>143</v>
      </c>
      <c r="X60" s="277"/>
      <c r="Y60" s="277"/>
      <c r="Z60" s="277"/>
      <c r="AA60" s="277"/>
      <c r="AB60" s="277"/>
      <c r="AC60" s="277"/>
      <c r="AD60" s="277"/>
    </row>
    <row r="61" spans="1:30" ht="14.25" x14ac:dyDescent="0.2">
      <c r="A61" s="94">
        <v>61</v>
      </c>
      <c r="B61" s="172" t="s">
        <v>110</v>
      </c>
      <c r="C61" s="172" t="s">
        <v>111</v>
      </c>
      <c r="D61" s="328">
        <f>IF(B61="A"&amp;core_data!$B$31,core_data!$F$31,"X")</f>
        <v>90.516666666666666</v>
      </c>
      <c r="E61" s="328">
        <f>IF(C61="B"&amp;core_data!$B$31,core_data!$J$31,"X")</f>
        <v>89.853333333333339</v>
      </c>
      <c r="F61" s="328">
        <f>IF(B61="A"&amp;core_data!$B$31,core_data!$N$31,"X")</f>
        <v>37.376666666666665</v>
      </c>
      <c r="G61" s="328">
        <f>IF(C61="B"&amp;core_data!$B$31,core_data!$R$31,"X")</f>
        <v>37.343333333333334</v>
      </c>
      <c r="H61" s="137">
        <v>43777</v>
      </c>
      <c r="I61" s="137">
        <v>43779</v>
      </c>
      <c r="J61" s="136">
        <v>-7.5</v>
      </c>
      <c r="K61" s="136">
        <v>10.19</v>
      </c>
      <c r="L61" s="98">
        <f>PI()*(AVERAGE(core_data!N31/1000,core_data!R31/1000)/2)^2</f>
        <v>1.0962348803659908E-3</v>
      </c>
      <c r="M61" s="213">
        <f>SUM(mass!B18:'mass'!E18,mass!K18,mass!N18,mass!M23)</f>
        <v>41.663899999999998</v>
      </c>
      <c r="N61" s="96">
        <f>0.956+0.8381+0.5193</f>
        <v>2.3133999999999997</v>
      </c>
      <c r="O61" s="100">
        <f t="shared" si="36"/>
        <v>43.9773</v>
      </c>
      <c r="P61" s="201">
        <f t="shared" si="37"/>
        <v>5.2604411821553385E-2</v>
      </c>
      <c r="Q61" s="101">
        <f t="shared" si="38"/>
        <v>431.26998904499999</v>
      </c>
      <c r="R61" s="317">
        <f t="shared" si="39"/>
        <v>0.39341020502925017</v>
      </c>
      <c r="S61" s="96" t="s">
        <v>81</v>
      </c>
      <c r="T61" s="96" t="s">
        <v>77</v>
      </c>
      <c r="U61" s="236">
        <v>0.72777777777777775</v>
      </c>
      <c r="V61" s="222" t="str">
        <f t="shared" si="17"/>
        <v>G</v>
      </c>
      <c r="W61" s="276" t="s">
        <v>143</v>
      </c>
      <c r="X61" s="277"/>
      <c r="Y61" s="277"/>
      <c r="Z61" s="277"/>
      <c r="AA61" s="277"/>
      <c r="AB61" s="277"/>
      <c r="AC61" s="277"/>
      <c r="AD61" s="277"/>
    </row>
    <row r="62" spans="1:30" ht="14.25" x14ac:dyDescent="0.2">
      <c r="A62" s="122">
        <v>62</v>
      </c>
      <c r="B62" s="122" t="s">
        <v>13</v>
      </c>
      <c r="C62" s="122" t="s">
        <v>17</v>
      </c>
      <c r="D62" s="328">
        <f>IF(B62="A0"&amp;core_data!$B$20,core_data!$F$20,"X")</f>
        <v>93.096666666666678</v>
      </c>
      <c r="E62" s="328">
        <f>IF(C62="B0"&amp;core_data!$B$20,core_data!$J$20,"X")</f>
        <v>93.05</v>
      </c>
      <c r="F62" s="328">
        <f>IF(B62="A0"&amp;core_data!$B$20,core_data!$N$20,"X")</f>
        <v>37.286666666666669</v>
      </c>
      <c r="G62" s="328">
        <f>IF(C62="B0"&amp;core_data!$B$20,core_data!$R$20,"X")</f>
        <v>37.256666666666668</v>
      </c>
      <c r="H62" s="123">
        <v>43779</v>
      </c>
      <c r="I62" s="123">
        <v>43780</v>
      </c>
      <c r="J62" s="124">
        <v>-10</v>
      </c>
      <c r="K62" s="124">
        <v>9.94</v>
      </c>
      <c r="L62" s="126">
        <f>PI()*(AVERAGE(core_data!$N$20/1000,core_data!$R$20/1000)/2)^2</f>
        <v>1.0910571713353939E-3</v>
      </c>
      <c r="M62" s="212">
        <f>SUM(mass!C18:E18,mass!K18,mass!N18,mass!M23)</f>
        <v>32.2089</v>
      </c>
      <c r="N62" s="135"/>
      <c r="O62" s="133" t="s">
        <v>88</v>
      </c>
      <c r="P62" s="134" t="s">
        <v>88</v>
      </c>
      <c r="Q62" s="134" t="s">
        <v>88</v>
      </c>
      <c r="R62" s="318"/>
      <c r="S62" s="124" t="s">
        <v>81</v>
      </c>
      <c r="T62" s="124" t="s">
        <v>77</v>
      </c>
      <c r="U62" s="235">
        <v>0.79166666666666663</v>
      </c>
      <c r="V62" s="222" t="str">
        <f t="shared" si="17"/>
        <v>B</v>
      </c>
      <c r="W62" s="262" t="s">
        <v>145</v>
      </c>
      <c r="X62" s="263"/>
      <c r="Y62" s="263"/>
      <c r="Z62" s="263"/>
      <c r="AA62" s="263"/>
      <c r="AB62" s="263"/>
      <c r="AC62" s="263"/>
      <c r="AD62" s="263"/>
    </row>
    <row r="63" spans="1:30" ht="14.1" customHeight="1" x14ac:dyDescent="0.2">
      <c r="A63" s="122">
        <v>63</v>
      </c>
      <c r="B63" s="122" t="s">
        <v>15</v>
      </c>
      <c r="C63" s="122" t="s">
        <v>18</v>
      </c>
      <c r="D63" s="328">
        <f>IF(B63="A0"&amp;core_data!$B$21,core_data!$F$21,"X")</f>
        <v>93.179999999999993</v>
      </c>
      <c r="E63" s="328">
        <f>IF(C63="B0"&amp;core_data!$B$21,core_data!$J$21,"X")</f>
        <v>92.759999999999991</v>
      </c>
      <c r="F63" s="328">
        <f>IF(B63="A0"&amp;core_data!$B$21,core_data!$N$21,"X")</f>
        <v>37.366666666666667</v>
      </c>
      <c r="G63" s="328">
        <f>IF(C63="B0"&amp;core_data!$B$21,core_data!$R$21,"X")</f>
        <v>37.216666666666669</v>
      </c>
      <c r="H63" s="123">
        <v>43779</v>
      </c>
      <c r="I63" s="123">
        <v>43780</v>
      </c>
      <c r="J63" s="124">
        <v>-10</v>
      </c>
      <c r="K63" s="124">
        <v>9.84</v>
      </c>
      <c r="L63" s="126">
        <f>PI()*(AVERAGE(core_data!$N$21/1000,core_data!$R$21/1000)/2)^2</f>
        <v>1.0922284094365296E-3</v>
      </c>
      <c r="M63" s="212">
        <f>SUM(mass!C18:D18,mass!K18,mass!N18,mass!M23)+mass!B23+mass!C23+mass!D23</f>
        <v>30.488899999999997</v>
      </c>
      <c r="N63" s="124">
        <f>0.9665+0.9933+0.934+0.5654</f>
        <v>3.4592000000000001</v>
      </c>
      <c r="O63" s="125">
        <f t="shared" ref="O63:O68" si="40">M63+N63</f>
        <v>33.948099999999997</v>
      </c>
      <c r="P63" s="190">
        <f t="shared" si="37"/>
        <v>0.10189671881489687</v>
      </c>
      <c r="Q63" s="130">
        <f t="shared" si="38"/>
        <v>332.91713486499992</v>
      </c>
      <c r="R63" s="324">
        <f t="shared" si="39"/>
        <v>0.30480541614619672</v>
      </c>
      <c r="S63" s="124" t="s">
        <v>81</v>
      </c>
      <c r="T63" s="124" t="s">
        <v>77</v>
      </c>
      <c r="U63" s="235">
        <v>0.7993055555555556</v>
      </c>
      <c r="V63" s="222" t="str">
        <f t="shared" si="17"/>
        <v>G</v>
      </c>
      <c r="W63" s="262" t="s">
        <v>145</v>
      </c>
      <c r="X63" s="263"/>
      <c r="Y63" s="263"/>
      <c r="Z63" s="263"/>
      <c r="AA63" s="263"/>
      <c r="AB63" s="263"/>
      <c r="AC63" s="263"/>
      <c r="AD63" s="263"/>
    </row>
    <row r="64" spans="1:30" ht="14.1" customHeight="1" x14ac:dyDescent="0.2">
      <c r="A64" s="122">
        <v>64</v>
      </c>
      <c r="B64" s="122" t="s">
        <v>91</v>
      </c>
      <c r="C64" s="122" t="s">
        <v>92</v>
      </c>
      <c r="D64" s="328">
        <f>IF(B64="A0"&amp;core_data!$B$22,core_data!$F$22,"X")</f>
        <v>94.673333333333332</v>
      </c>
      <c r="E64" s="328">
        <f>IF(C64="B0"&amp;core_data!$B$22,core_data!$J$22,"X")</f>
        <v>95.55</v>
      </c>
      <c r="F64" s="328">
        <f>IF(B64="A0"&amp;core_data!$B$22,core_data!$N$22,"X")</f>
        <v>37.373333333333335</v>
      </c>
      <c r="G64" s="328">
        <f>IF(C64="B0"&amp;core_data!$B$22,core_data!$R$22,"X")</f>
        <v>37.333333333333336</v>
      </c>
      <c r="H64" s="123">
        <v>43779</v>
      </c>
      <c r="I64" s="123">
        <v>43780</v>
      </c>
      <c r="J64" s="124">
        <v>-10</v>
      </c>
      <c r="K64" s="124">
        <v>9.9499999999999993</v>
      </c>
      <c r="L64" s="126">
        <f>PI()*(AVERAGE(core_data!$N$22/1000,core_data!$R$22/1000)/2)^2</f>
        <v>1.0958436822674491E-3</v>
      </c>
      <c r="M64" s="212">
        <f>SUM(mass!C18:E18,mass!K18,mass!N18,mass!M23)+mass!B23+mass!C23</f>
        <v>37.188899999999997</v>
      </c>
      <c r="N64" s="124">
        <f>mass!H23+0.9163+0.9401+0.959+0.9191+1.0034+0.95+0.3383</f>
        <v>7.1046000000000005</v>
      </c>
      <c r="O64" s="125">
        <f t="shared" si="40"/>
        <v>44.293499999999995</v>
      </c>
      <c r="P64" s="190">
        <f t="shared" si="37"/>
        <v>0.16039825256527485</v>
      </c>
      <c r="Q64" s="130">
        <f t="shared" si="38"/>
        <v>434.37085177499995</v>
      </c>
      <c r="R64" s="324">
        <f t="shared" si="39"/>
        <v>0.39638030387347561</v>
      </c>
      <c r="S64" s="124" t="s">
        <v>81</v>
      </c>
      <c r="T64" s="124" t="s">
        <v>77</v>
      </c>
      <c r="U64" s="235">
        <v>0.8125</v>
      </c>
      <c r="V64" s="222" t="str">
        <f t="shared" si="17"/>
        <v>G</v>
      </c>
      <c r="W64" s="262" t="s">
        <v>145</v>
      </c>
      <c r="X64" s="263"/>
      <c r="Y64" s="263"/>
      <c r="Z64" s="263"/>
      <c r="AA64" s="263"/>
      <c r="AB64" s="263"/>
      <c r="AC64" s="263"/>
      <c r="AD64" s="263"/>
    </row>
    <row r="65" spans="1:30" ht="14.1" customHeight="1" x14ac:dyDescent="0.2">
      <c r="A65" s="122">
        <v>65</v>
      </c>
      <c r="B65" s="122" t="s">
        <v>94</v>
      </c>
      <c r="C65" s="122" t="s">
        <v>95</v>
      </c>
      <c r="D65" s="328">
        <f>IF(B65="A0"&amp;core_data!$B$23,core_data!$F$23,"X")</f>
        <v>94.280000000000015</v>
      </c>
      <c r="E65" s="328">
        <f>IF(C65="B0"&amp;core_data!$B$23,core_data!$J$23,"X")</f>
        <v>94.649999999999991</v>
      </c>
      <c r="F65" s="328">
        <f>IF(B65="A0"&amp;core_data!$B$23,core_data!$N$23,"X")</f>
        <v>37.330000000000005</v>
      </c>
      <c r="G65" s="328">
        <f>IF(C65="B0"&amp;core_data!$B$23,core_data!$R$23,"X")</f>
        <v>37.36333333333333</v>
      </c>
      <c r="H65" s="123">
        <v>43779</v>
      </c>
      <c r="I65" s="123">
        <v>43780</v>
      </c>
      <c r="J65" s="124">
        <v>-10</v>
      </c>
      <c r="K65" s="124">
        <v>9.85</v>
      </c>
      <c r="L65" s="126">
        <f>PI()*(AVERAGE(core_data!$N$23/1000,core_data!$R$23/1000)/2)^2</f>
        <v>1.095452553982077E-3</v>
      </c>
      <c r="M65" s="212">
        <f>SUM(mass!C18:E18,mass!K18,mass!N18,mass!M23)+mass!B23+mass!C23+mass!H23</f>
        <v>38.267299999999999</v>
      </c>
      <c r="N65" s="124">
        <f>0.9156+0.9621+0.8375+0.5715</f>
        <v>3.2866999999999997</v>
      </c>
      <c r="O65" s="125">
        <f t="shared" si="40"/>
        <v>41.554000000000002</v>
      </c>
      <c r="P65" s="190">
        <f t="shared" si="37"/>
        <v>7.9094671993069243E-2</v>
      </c>
      <c r="Q65" s="130">
        <f t="shared" si="38"/>
        <v>407.50553409999998</v>
      </c>
      <c r="R65" s="324">
        <f t="shared" si="39"/>
        <v>0.37199742938996083</v>
      </c>
      <c r="S65" s="124" t="s">
        <v>81</v>
      </c>
      <c r="T65" s="124" t="s">
        <v>77</v>
      </c>
      <c r="U65" s="235">
        <v>0.82430555555555562</v>
      </c>
      <c r="V65" s="222" t="str">
        <f t="shared" si="17"/>
        <v>G</v>
      </c>
      <c r="W65" s="262" t="s">
        <v>145</v>
      </c>
      <c r="X65" s="263"/>
      <c r="Y65" s="263"/>
      <c r="Z65" s="263"/>
      <c r="AA65" s="263"/>
      <c r="AB65" s="263"/>
      <c r="AC65" s="263"/>
      <c r="AD65" s="263"/>
    </row>
    <row r="66" spans="1:30" ht="14.1" customHeight="1" x14ac:dyDescent="0.2">
      <c r="A66" s="122">
        <v>66</v>
      </c>
      <c r="B66" s="122" t="s">
        <v>112</v>
      </c>
      <c r="C66" s="122" t="s">
        <v>113</v>
      </c>
      <c r="D66" s="328">
        <f>IF(B66="A"&amp;core_data!$B$32,core_data!$F$32,"X")</f>
        <v>96.176666666666662</v>
      </c>
      <c r="E66" s="328">
        <f>IF(C66="B"&amp;core_data!$B$32,core_data!$J$32,"X")</f>
        <v>94.953333333333333</v>
      </c>
      <c r="F66" s="328">
        <f>IF(B66="A"&amp;core_data!$B$32,core_data!$N$32,"X")</f>
        <v>37.393333333333338</v>
      </c>
      <c r="G66" s="328">
        <f>IF(C66="B"&amp;core_data!$B$32,core_data!$R$32,"X")</f>
        <v>37.330000000000005</v>
      </c>
      <c r="H66" s="123">
        <v>43779</v>
      </c>
      <c r="I66" s="123">
        <v>43780</v>
      </c>
      <c r="J66" s="124">
        <v>-10</v>
      </c>
      <c r="K66" s="124">
        <v>9.99</v>
      </c>
      <c r="L66" s="126">
        <f>PI()*(AVERAGE(core_data!$N$32/1000,core_data!$R$32/1000)/2)^2</f>
        <v>1.0963326907989345E-3</v>
      </c>
      <c r="M66" s="212">
        <f>SUM(mass!C18:E18,mass!K18,mass!N18,mass!M23)+mass!B23+mass!C23+mass!H23</f>
        <v>38.267299999999999</v>
      </c>
      <c r="N66" s="124">
        <f>SUM(mass!G23,mass!I23:L23)+0.9114+0.8985+0.9443+0.9898+0.8984+1.0075+0.687</f>
        <v>11.691400000000002</v>
      </c>
      <c r="O66" s="125">
        <f t="shared" si="40"/>
        <v>49.9587</v>
      </c>
      <c r="P66" s="190">
        <f t="shared" si="37"/>
        <v>0.23402130159511761</v>
      </c>
      <c r="Q66" s="130">
        <f t="shared" si="38"/>
        <v>489.92748535499999</v>
      </c>
      <c r="R66" s="324">
        <f t="shared" si="39"/>
        <v>0.44687847901167055</v>
      </c>
      <c r="S66" s="124" t="s">
        <v>81</v>
      </c>
      <c r="T66" s="124" t="s">
        <v>77</v>
      </c>
      <c r="U66" s="235">
        <v>0.8340277777777777</v>
      </c>
      <c r="V66" s="222" t="str">
        <f t="shared" si="17"/>
        <v>G</v>
      </c>
      <c r="W66" s="262" t="s">
        <v>146</v>
      </c>
      <c r="X66" s="263"/>
      <c r="Y66" s="263"/>
      <c r="Z66" s="263"/>
      <c r="AA66" s="263"/>
      <c r="AB66" s="263"/>
      <c r="AC66" s="263"/>
      <c r="AD66" s="263"/>
    </row>
    <row r="67" spans="1:30" ht="14.1" customHeight="1" x14ac:dyDescent="0.2">
      <c r="A67" s="122">
        <v>67</v>
      </c>
      <c r="B67" s="122" t="s">
        <v>116</v>
      </c>
      <c r="C67" s="122" t="s">
        <v>117</v>
      </c>
      <c r="D67" s="328">
        <f>IF(B67="A"&amp;core_data!$B$33,core_data!$F$33,"X")</f>
        <v>96.52</v>
      </c>
      <c r="E67" s="328">
        <f>IF(C67="B"&amp;core_data!$B$33,core_data!$J$33,"X")</f>
        <v>97.326666666666668</v>
      </c>
      <c r="F67" s="328">
        <f>IF(B67="A"&amp;core_data!$B$33,core_data!$N$33,"X")</f>
        <v>37.22</v>
      </c>
      <c r="G67" s="328">
        <f>IF(C67="B"&amp;core_data!$B$33,core_data!$R$33,"X")</f>
        <v>37.270000000000003</v>
      </c>
      <c r="H67" s="123">
        <v>43779</v>
      </c>
      <c r="I67" s="123">
        <v>43780</v>
      </c>
      <c r="J67" s="124">
        <v>-10</v>
      </c>
      <c r="K67" s="124">
        <v>9.94</v>
      </c>
      <c r="L67" s="126">
        <f>PI()*(AVERAGE(core_data!$N$33/1000,core_data!$R$33/1000)/2)^2</f>
        <v>1.0894964979182604E-3</v>
      </c>
      <c r="M67" s="212">
        <f>SUM(mass!C18:E18,mass!K18,mass!N18,mass!M23)+SUM(mass!B23:E23,mass!F23:G23)</f>
        <v>44.286000000000001</v>
      </c>
      <c r="N67" s="135"/>
      <c r="O67" s="133" t="s">
        <v>88</v>
      </c>
      <c r="P67" s="134" t="s">
        <v>88</v>
      </c>
      <c r="Q67" s="134" t="s">
        <v>88</v>
      </c>
      <c r="R67" s="318"/>
      <c r="S67" s="124" t="s">
        <v>81</v>
      </c>
      <c r="T67" s="124" t="s">
        <v>77</v>
      </c>
      <c r="U67" s="235">
        <v>0.8569444444444444</v>
      </c>
      <c r="V67" s="222" t="str">
        <f t="shared" si="17"/>
        <v>B</v>
      </c>
      <c r="W67" s="262" t="s">
        <v>145</v>
      </c>
      <c r="X67" s="263"/>
      <c r="Y67" s="263"/>
      <c r="Z67" s="263"/>
      <c r="AA67" s="263"/>
      <c r="AB67" s="263"/>
      <c r="AC67" s="263"/>
      <c r="AD67" s="263"/>
    </row>
    <row r="68" spans="1:30" ht="14.1" customHeight="1" x14ac:dyDescent="0.2">
      <c r="A68" s="122">
        <v>68</v>
      </c>
      <c r="B68" s="122" t="s">
        <v>79</v>
      </c>
      <c r="C68" s="122" t="s">
        <v>80</v>
      </c>
      <c r="D68" s="328">
        <f>IF(B68="A"&amp;core_data!$B$34,core_data!$F$34,"X")</f>
        <v>98.8</v>
      </c>
      <c r="E68" s="328">
        <f>IF(C68="B"&amp;core_data!$B$34,core_data!$J$34,"X")</f>
        <v>98.813333333333333</v>
      </c>
      <c r="F68" s="328">
        <f>IF(B68="A"&amp;core_data!$B$34,core_data!$N$34,"X")</f>
        <v>37.373333333333335</v>
      </c>
      <c r="G68" s="328">
        <f>IF(C68="B"&amp;core_data!$B$34,core_data!$R$34,"X")</f>
        <v>37.416666666666664</v>
      </c>
      <c r="H68" s="123">
        <v>43779</v>
      </c>
      <c r="I68" s="123">
        <v>43780</v>
      </c>
      <c r="J68" s="124">
        <v>-10</v>
      </c>
      <c r="K68" s="125">
        <v>10</v>
      </c>
      <c r="L68" s="126">
        <f>PI()*(AVERAGE(core_data!$N$34/1000,core_data!$R$34/1000)/2)^2</f>
        <v>1.098289815755658E-3</v>
      </c>
      <c r="M68" s="212">
        <f>SUM(mass!C18:E18,mass!K18,mass!N18,mass!M23)+SUM(mass!B23:D23)</f>
        <v>39.673900000000003</v>
      </c>
      <c r="N68" s="124">
        <f>0.9939+0.9358+0.965+0.9691+0.981+0.7833+0.4238</f>
        <v>6.0518999999999998</v>
      </c>
      <c r="O68" s="125">
        <f t="shared" si="40"/>
        <v>45.725800000000007</v>
      </c>
      <c r="P68" s="190">
        <f t="shared" si="37"/>
        <v>0.13235197634595783</v>
      </c>
      <c r="Q68" s="130">
        <f t="shared" si="38"/>
        <v>448.41691657000001</v>
      </c>
      <c r="R68" s="324">
        <f t="shared" si="39"/>
        <v>0.40828651066155525</v>
      </c>
      <c r="S68" s="124" t="s">
        <v>81</v>
      </c>
      <c r="T68" s="124" t="s">
        <v>77</v>
      </c>
      <c r="U68" s="235">
        <v>0.86388888888888893</v>
      </c>
      <c r="V68" s="222" t="str">
        <f t="shared" si="17"/>
        <v>G</v>
      </c>
      <c r="W68" s="262" t="s">
        <v>145</v>
      </c>
      <c r="X68" s="263"/>
      <c r="Y68" s="263"/>
      <c r="Z68" s="263"/>
      <c r="AA68" s="263"/>
      <c r="AB68" s="263"/>
      <c r="AC68" s="263"/>
      <c r="AD68" s="263"/>
    </row>
    <row r="69" spans="1:30" ht="14.25" x14ac:dyDescent="0.2">
      <c r="A69" s="94">
        <v>69</v>
      </c>
      <c r="B69" s="94" t="s">
        <v>97</v>
      </c>
      <c r="C69" s="94" t="s">
        <v>98</v>
      </c>
      <c r="D69" s="328">
        <f>IF(B69="A0"&amp;core_data!$B$24,core_data!$F$24,"X")</f>
        <v>97.813333333333333</v>
      </c>
      <c r="E69" s="328">
        <f>IF(C69="B0"&amp;core_data!$B$24,core_data!$J$24,"X")</f>
        <v>98.403333333333322</v>
      </c>
      <c r="F69" s="328">
        <f>IF(B69="A0"&amp;core_data!$B$24,core_data!$N$24,"X")</f>
        <v>37.406666666666666</v>
      </c>
      <c r="G69" s="328">
        <f>IF(C69="B0"&amp;core_data!$B$24,core_data!$R$24,"X")</f>
        <v>37.346666666666671</v>
      </c>
      <c r="H69" s="137">
        <v>43781</v>
      </c>
      <c r="I69" s="137">
        <v>43782</v>
      </c>
      <c r="J69" s="136">
        <v>-5</v>
      </c>
      <c r="K69" s="136">
        <v>9.93</v>
      </c>
      <c r="L69" s="98">
        <f>PI()*(AVERAGE(core_data!$N$24/1000,core_data!$R$24/1000)/2)^2</f>
        <v>1.0972131810449654E-3</v>
      </c>
      <c r="M69" s="213">
        <f>SUM(mass!C18,mass!K18,mass!N18,mass!M23)+mass!B23+mass!C23</f>
        <v>18.803900000000002</v>
      </c>
      <c r="N69" s="96">
        <f>1.0034+0.9521+0.9691+1.018+0.9915+1.0181</f>
        <v>5.9521999999999995</v>
      </c>
      <c r="O69" s="100">
        <f t="shared" ref="O69" si="41">N69+M69</f>
        <v>24.756100000000004</v>
      </c>
      <c r="P69" s="201">
        <f t="shared" si="37"/>
        <v>0.24043367089323434</v>
      </c>
      <c r="Q69" s="101">
        <f t="shared" si="38"/>
        <v>242.77440806500002</v>
      </c>
      <c r="R69" s="317">
        <f>Q69/L69/1000000</f>
        <v>0.2212645748876132</v>
      </c>
      <c r="S69" s="96" t="s">
        <v>81</v>
      </c>
      <c r="T69" s="96" t="s">
        <v>77</v>
      </c>
      <c r="U69" s="236">
        <v>0.70763888888888893</v>
      </c>
      <c r="V69" s="222" t="str">
        <f t="shared" si="17"/>
        <v>G</v>
      </c>
      <c r="W69" s="276" t="s">
        <v>210</v>
      </c>
      <c r="X69" s="277"/>
      <c r="Y69" s="277"/>
      <c r="Z69" s="277"/>
      <c r="AA69" s="277"/>
      <c r="AB69" s="277"/>
      <c r="AC69" s="277"/>
      <c r="AD69" s="277"/>
    </row>
    <row r="70" spans="1:30" ht="14.25" x14ac:dyDescent="0.2">
      <c r="A70" s="94">
        <v>70</v>
      </c>
      <c r="B70" s="172" t="s">
        <v>100</v>
      </c>
      <c r="C70" s="172" t="s">
        <v>101</v>
      </c>
      <c r="D70" s="328">
        <f>IF(B70="A0"&amp;core_data!$B$25,core_data!$F$25,"X")</f>
        <v>93.926666666666662</v>
      </c>
      <c r="E70" s="328">
        <f>IF(C70="B0"&amp;core_data!$B$25,core_data!$J$25,"X")</f>
        <v>93.243333333333325</v>
      </c>
      <c r="F70" s="328">
        <f>IF(B70="A0"&amp;core_data!$B$25,core_data!$N$25,"X")</f>
        <v>37.336666666666666</v>
      </c>
      <c r="G70" s="328">
        <f>IF(C70="B0"&amp;core_data!$B$25,core_data!$R$25,"X")</f>
        <v>37.26</v>
      </c>
      <c r="H70" s="137">
        <v>43781</v>
      </c>
      <c r="I70" s="137">
        <v>43782</v>
      </c>
      <c r="J70" s="136">
        <v>-5</v>
      </c>
      <c r="K70" s="136">
        <v>9.9600000000000009</v>
      </c>
      <c r="L70" s="98">
        <f>PI()*(AVERAGE(core_data!$N$25/1000,core_data!$R$25/1000)/2)^2</f>
        <v>1.0926189617632485E-3</v>
      </c>
      <c r="M70" s="213">
        <f>SUM(mass!$C$18,mass!$K$18,mass!$N$18,mass!$M$23)+mass!$B$23+mass!$C$23+mass!$D$23</f>
        <v>21.288900000000002</v>
      </c>
      <c r="N70" s="96">
        <f>0.9635+0.9936+0.956+0.9922+1.0039+0.6939+0.5528</f>
        <v>6.1559000000000008</v>
      </c>
      <c r="O70" s="100">
        <f t="shared" ref="O70:O76" si="42">N70+M70</f>
        <v>27.444800000000001</v>
      </c>
      <c r="P70" s="201">
        <f t="shared" ref="P70:P77" si="43">N70/O70</f>
        <v>0.22430114265726114</v>
      </c>
      <c r="Q70" s="101">
        <f t="shared" ref="Q70:Q77" si="44">O70*9.80665</f>
        <v>269.14154791999999</v>
      </c>
      <c r="R70" s="317">
        <f t="shared" ref="R70:R77" si="45">Q70/L70/1000000</f>
        <v>0.24632699718634232</v>
      </c>
      <c r="S70" s="96" t="s">
        <v>81</v>
      </c>
      <c r="T70" s="96" t="s">
        <v>77</v>
      </c>
      <c r="U70" s="236">
        <v>0.72222222222222221</v>
      </c>
      <c r="V70" s="222" t="str">
        <f t="shared" si="17"/>
        <v>G</v>
      </c>
      <c r="W70" s="276" t="s">
        <v>143</v>
      </c>
      <c r="X70" s="277"/>
      <c r="Y70" s="277"/>
      <c r="Z70" s="277"/>
      <c r="AA70" s="277"/>
      <c r="AB70" s="277"/>
      <c r="AC70" s="277"/>
      <c r="AD70" s="277"/>
    </row>
    <row r="71" spans="1:30" ht="14.25" x14ac:dyDescent="0.2">
      <c r="A71" s="94">
        <v>71</v>
      </c>
      <c r="B71" s="94" t="s">
        <v>102</v>
      </c>
      <c r="C71" s="94" t="s">
        <v>103</v>
      </c>
      <c r="D71" s="328">
        <f>IF(B71="A0"&amp;core_data!$B$26,core_data!$F$26,"X")</f>
        <v>89.399999999999991</v>
      </c>
      <c r="E71" s="328">
        <f>IF(C71="B0"&amp;core_data!$B$26,core_data!$J$26,"X")</f>
        <v>91.606666666666669</v>
      </c>
      <c r="F71" s="328">
        <f>IF(B71="A0"&amp;core_data!$B$26,core_data!$N$26,"X")</f>
        <v>37.353333333333332</v>
      </c>
      <c r="G71" s="328">
        <f>IF(C71="B0"&amp;core_data!$B$26,core_data!$R$26,"X")</f>
        <v>37.360000000000007</v>
      </c>
      <c r="H71" s="137">
        <v>43781</v>
      </c>
      <c r="I71" s="137">
        <v>43782</v>
      </c>
      <c r="J71" s="136">
        <v>-5</v>
      </c>
      <c r="K71" s="136">
        <v>10.029999999999999</v>
      </c>
      <c r="L71" s="98">
        <f>PI()*(AVERAGE(core_data!$N$26/1000,core_data!$R$26/1000)/2)^2</f>
        <v>1.0960392725900734E-3</v>
      </c>
      <c r="M71" s="213">
        <f>SUM(mass!$C$18,mass!$K$18,mass!$N$18,mass!$M$23)+mass!$B$23+mass!$C$23+mass!$D$23+mass!$E$23</f>
        <v>23.768900000000002</v>
      </c>
      <c r="N71" s="96">
        <f>0.9346+1.0053+1.026+1.0241+1.0025+0.9334+0.2958</f>
        <v>6.2216999999999993</v>
      </c>
      <c r="O71" s="100">
        <f t="shared" si="42"/>
        <v>29.990600000000001</v>
      </c>
      <c r="P71" s="201">
        <f t="shared" si="43"/>
        <v>0.20745500256747113</v>
      </c>
      <c r="Q71" s="101">
        <f t="shared" si="44"/>
        <v>294.10731749000001</v>
      </c>
      <c r="R71" s="317">
        <f t="shared" si="45"/>
        <v>0.26833647739189931</v>
      </c>
      <c r="S71" s="96" t="s">
        <v>81</v>
      </c>
      <c r="T71" s="96" t="s">
        <v>77</v>
      </c>
      <c r="U71" s="236">
        <v>0.73333333333333339</v>
      </c>
      <c r="V71" s="222" t="str">
        <f t="shared" si="17"/>
        <v>G</v>
      </c>
      <c r="W71" s="276" t="s">
        <v>144</v>
      </c>
      <c r="X71" s="277"/>
      <c r="Y71" s="277"/>
      <c r="Z71" s="277"/>
      <c r="AA71" s="277"/>
      <c r="AB71" s="277"/>
      <c r="AC71" s="277"/>
      <c r="AD71" s="277"/>
    </row>
    <row r="72" spans="1:30" ht="14.25" x14ac:dyDescent="0.2">
      <c r="A72" s="94">
        <v>72</v>
      </c>
      <c r="B72" s="172" t="s">
        <v>104</v>
      </c>
      <c r="C72" s="172" t="s">
        <v>105</v>
      </c>
      <c r="D72" s="328">
        <f>IF(B72="A0"&amp;core_data!$B$27,core_data!$F$27,"X")</f>
        <v>90.696666666666673</v>
      </c>
      <c r="E72" s="328">
        <f>IF(C72="B0"&amp;core_data!$B$27,core_data!$J$27,"X")</f>
        <v>89.473333333333343</v>
      </c>
      <c r="F72" s="328">
        <f>IF(B72="A0"&amp;core_data!$B$27,core_data!$N$27,"X")</f>
        <v>37.346666666666671</v>
      </c>
      <c r="G72" s="328">
        <f>IF(C72="B0"&amp;core_data!$B$27,core_data!$R$27,"X")</f>
        <v>37.360000000000007</v>
      </c>
      <c r="H72" s="137">
        <v>43781</v>
      </c>
      <c r="I72" s="137">
        <v>43782</v>
      </c>
      <c r="J72" s="136">
        <v>-5</v>
      </c>
      <c r="K72" s="181">
        <v>9.92</v>
      </c>
      <c r="L72" s="98">
        <f>PI()*(AVERAGE(core_data!$N$27/1000,core_data!$R$27/1000)/2)^2</f>
        <v>1.0958436822674491E-3</v>
      </c>
      <c r="M72" s="213">
        <f>SUM(mass!$C$18,mass!$K$18,mass!$N$18,mass!$M$23)+mass!$B$23+mass!$C$23+mass!$D$23+mass!$E$23+SUM(mass!F23:G23)</f>
        <v>25.901000000000003</v>
      </c>
      <c r="N72" s="96">
        <f>0.9655+0.9959+0.9949+1.0079+0.9973+0.4393</f>
        <v>5.4008000000000003</v>
      </c>
      <c r="O72" s="100">
        <f t="shared" si="42"/>
        <v>31.301800000000004</v>
      </c>
      <c r="P72" s="201">
        <f t="shared" si="43"/>
        <v>0.17253959836175553</v>
      </c>
      <c r="Q72" s="101">
        <f t="shared" si="44"/>
        <v>306.96579697000004</v>
      </c>
      <c r="R72" s="317">
        <f t="shared" si="45"/>
        <v>0.28011823395727958</v>
      </c>
      <c r="S72" s="96" t="s">
        <v>81</v>
      </c>
      <c r="T72" s="96" t="s">
        <v>77</v>
      </c>
      <c r="U72" s="236">
        <v>0.81666666666666676</v>
      </c>
      <c r="V72" s="222" t="str">
        <f t="shared" si="17"/>
        <v>G</v>
      </c>
      <c r="W72" s="276" t="s">
        <v>143</v>
      </c>
      <c r="X72" s="277"/>
      <c r="Y72" s="277"/>
      <c r="Z72" s="277"/>
      <c r="AA72" s="277"/>
      <c r="AB72" s="277"/>
      <c r="AC72" s="277"/>
      <c r="AD72" s="277"/>
    </row>
    <row r="73" spans="1:30" ht="14.25" x14ac:dyDescent="0.2">
      <c r="A73" s="94">
        <v>73</v>
      </c>
      <c r="B73" s="94" t="s">
        <v>106</v>
      </c>
      <c r="C73" s="94" t="s">
        <v>107</v>
      </c>
      <c r="D73" s="328">
        <f>IF(B73="A0"&amp;core_data!$B$28,core_data!$F$28,"X")</f>
        <v>83.17</v>
      </c>
      <c r="E73" s="328">
        <f>IF(C73="B0"&amp;core_data!$B$28,core_data!$J$28,"X")</f>
        <v>88.483333333333334</v>
      </c>
      <c r="F73" s="328">
        <f>IF(B73="A0"&amp;core_data!$B$28,core_data!$N$28,"X")</f>
        <v>37.356666666666669</v>
      </c>
      <c r="G73" s="328">
        <f>IF(C73="B0"&amp;core_data!$B$28,core_data!$R$28,"X")</f>
        <v>37.346666666666664</v>
      </c>
      <c r="H73" s="137">
        <v>43781</v>
      </c>
      <c r="I73" s="137">
        <v>43782</v>
      </c>
      <c r="J73" s="136">
        <v>-5</v>
      </c>
      <c r="K73" s="136">
        <v>9.9499999999999993</v>
      </c>
      <c r="L73" s="98">
        <f>PI()*(AVERAGE(core_data!$N$28/1000,core_data!$R$28/1000)/2)^2</f>
        <v>1.0957458936511216E-3</v>
      </c>
      <c r="M73" s="213">
        <f>SUM(mass!$C$18,mass!$K$18,mass!$N$18,mass!$M$23)+mass!$B$23+mass!$C$23+mass!$D$23+mass!$E$23</f>
        <v>23.768900000000002</v>
      </c>
      <c r="N73" s="96">
        <f>0.9266+0.9587+0.9836+0.9798+1.0181+1.008+0.2058</f>
        <v>6.0805999999999996</v>
      </c>
      <c r="O73" s="100">
        <f t="shared" si="42"/>
        <v>29.849500000000003</v>
      </c>
      <c r="P73" s="201">
        <f t="shared" si="43"/>
        <v>0.20370860483425179</v>
      </c>
      <c r="Q73" s="101">
        <f t="shared" si="44"/>
        <v>292.723599175</v>
      </c>
      <c r="R73" s="317">
        <f t="shared" si="45"/>
        <v>0.2671455132718949</v>
      </c>
      <c r="S73" s="96" t="s">
        <v>81</v>
      </c>
      <c r="T73" s="96" t="s">
        <v>77</v>
      </c>
      <c r="U73" s="236">
        <v>0.82986111111111116</v>
      </c>
      <c r="V73" s="222" t="str">
        <f t="shared" si="17"/>
        <v>G</v>
      </c>
      <c r="W73" s="276" t="s">
        <v>143</v>
      </c>
      <c r="X73" s="277"/>
      <c r="Y73" s="277"/>
      <c r="Z73" s="277"/>
      <c r="AA73" s="277"/>
      <c r="AB73" s="277"/>
      <c r="AC73" s="277"/>
      <c r="AD73" s="277"/>
    </row>
    <row r="74" spans="1:30" ht="14.25" x14ac:dyDescent="0.2">
      <c r="A74" s="94">
        <v>74</v>
      </c>
      <c r="B74" s="172" t="s">
        <v>84</v>
      </c>
      <c r="C74" s="172" t="s">
        <v>85</v>
      </c>
      <c r="D74" s="328">
        <f>IF(B74="A"&amp;core_data!$B$29,core_data!$F$29,"X")</f>
        <v>100.06666666666666</v>
      </c>
      <c r="E74" s="328">
        <f>IF(C74="B"&amp;core_data!$B$29,core_data!$J$29,"X")</f>
        <v>97.666666666666671</v>
      </c>
      <c r="F74" s="328">
        <f>IF(B74="A"&amp;core_data!$B$29,core_data!$N$29,"X")</f>
        <v>37.35</v>
      </c>
      <c r="G74" s="328">
        <f>IF(C74="B"&amp;core_data!$B$29,core_data!$R$29,"X")</f>
        <v>37.366666666666667</v>
      </c>
      <c r="H74" s="137">
        <v>43781</v>
      </c>
      <c r="I74" s="137">
        <v>43782</v>
      </c>
      <c r="J74" s="136">
        <v>-5</v>
      </c>
      <c r="K74" s="136">
        <v>10.039999999999999</v>
      </c>
      <c r="L74" s="98">
        <f>PI()*(AVERAGE(core_data!$N$29/1000,core_data!$R$29/1000)/2)^2</f>
        <v>1.0961370742963708E-3</v>
      </c>
      <c r="M74" s="213">
        <f>SUM(mass!$C$18,mass!$K$18,mass!$N$18,mass!$M$23)+mass!$B$23+mass!$C$23+mass!$D$23+mass!$E$23</f>
        <v>23.768900000000002</v>
      </c>
      <c r="N74" s="96">
        <f>0.9891+0.9769+1.0195+0.9423+0.4111</f>
        <v>4.3388999999999998</v>
      </c>
      <c r="O74" s="100">
        <f t="shared" si="42"/>
        <v>28.107800000000001</v>
      </c>
      <c r="P74" s="201">
        <f t="shared" si="43"/>
        <v>0.1543664036317321</v>
      </c>
      <c r="Q74" s="101">
        <f t="shared" si="44"/>
        <v>275.64335686999999</v>
      </c>
      <c r="R74" s="317">
        <f t="shared" si="45"/>
        <v>0.25146796266054611</v>
      </c>
      <c r="S74" s="96" t="s">
        <v>81</v>
      </c>
      <c r="T74" s="96" t="s">
        <v>77</v>
      </c>
      <c r="U74" s="236">
        <v>0.85277777777777775</v>
      </c>
      <c r="V74" s="222" t="str">
        <f t="shared" si="17"/>
        <v>G</v>
      </c>
      <c r="W74" s="276" t="s">
        <v>211</v>
      </c>
      <c r="X74" s="277"/>
      <c r="Y74" s="277"/>
      <c r="Z74" s="277"/>
      <c r="AA74" s="277"/>
      <c r="AB74" s="277"/>
      <c r="AC74" s="277"/>
      <c r="AD74" s="277"/>
    </row>
    <row r="75" spans="1:30" ht="14.25" x14ac:dyDescent="0.2">
      <c r="A75" s="94">
        <v>75</v>
      </c>
      <c r="B75" s="94" t="s">
        <v>108</v>
      </c>
      <c r="C75" s="94" t="s">
        <v>109</v>
      </c>
      <c r="D75" s="328">
        <f>IF(B75="A"&amp;core_data!$B$30,core_data!$F$30,"X")</f>
        <v>102.02</v>
      </c>
      <c r="E75" s="328">
        <f>IF(C75="B"&amp;core_data!$B$30,core_data!$J$30,"X")</f>
        <v>102.01333333333334</v>
      </c>
      <c r="F75" s="328">
        <f>IF(B75="A"&amp;core_data!$B$30,core_data!$N$30,"X")</f>
        <v>37.423333333333332</v>
      </c>
      <c r="G75" s="328">
        <f>IF(C75="B"&amp;core_data!$B$30,core_data!$R$30,"X")</f>
        <v>37.403333333333336</v>
      </c>
      <c r="H75" s="137">
        <v>43781</v>
      </c>
      <c r="I75" s="137">
        <v>43782</v>
      </c>
      <c r="J75" s="136">
        <v>-5</v>
      </c>
      <c r="K75" s="181">
        <v>9.98</v>
      </c>
      <c r="L75" s="98">
        <f>PI()*(AVERAGE(core_data!$N$30/1000,core_data!$R$30/1000)/2)^2</f>
        <v>1.0993669784284499E-3</v>
      </c>
      <c r="M75" s="213">
        <f>SUM(mass!$C$18,mass!$K$18,mass!$N$18,mass!$M$23)+mass!$B$23+mass!$C$23+mass!$D$23+mass!$E$23</f>
        <v>23.768900000000002</v>
      </c>
      <c r="N75" s="96">
        <f>1.0213+0.992+0.9937+0.7994</f>
        <v>3.8064</v>
      </c>
      <c r="O75" s="100">
        <f t="shared" si="42"/>
        <v>27.575300000000002</v>
      </c>
      <c r="P75" s="201">
        <f t="shared" si="43"/>
        <v>0.13803657621131954</v>
      </c>
      <c r="Q75" s="101">
        <f t="shared" si="44"/>
        <v>270.42131574500002</v>
      </c>
      <c r="R75" s="317">
        <f t="shared" si="45"/>
        <v>0.2459791143914187</v>
      </c>
      <c r="S75" s="96" t="s">
        <v>81</v>
      </c>
      <c r="T75" s="96" t="s">
        <v>77</v>
      </c>
      <c r="U75" s="236">
        <v>0.86111111111111116</v>
      </c>
      <c r="V75" s="222" t="str">
        <f t="shared" si="17"/>
        <v>G</v>
      </c>
      <c r="W75" s="276" t="s">
        <v>143</v>
      </c>
      <c r="X75" s="277"/>
      <c r="Y75" s="277"/>
      <c r="Z75" s="277"/>
      <c r="AA75" s="277"/>
      <c r="AB75" s="277"/>
      <c r="AC75" s="277"/>
      <c r="AD75" s="277"/>
    </row>
    <row r="76" spans="1:30" ht="14.25" x14ac:dyDescent="0.2">
      <c r="A76" s="94">
        <v>76</v>
      </c>
      <c r="B76" s="172" t="s">
        <v>110</v>
      </c>
      <c r="C76" s="172" t="s">
        <v>111</v>
      </c>
      <c r="D76" s="328">
        <f>IF(B76="A"&amp;core_data!$B$31,core_data!$F$31,"X")</f>
        <v>90.516666666666666</v>
      </c>
      <c r="E76" s="328">
        <f>IF(C76="B"&amp;core_data!$B$31,core_data!$J$31,"X")</f>
        <v>89.853333333333339</v>
      </c>
      <c r="F76" s="328">
        <f>IF(B76="A"&amp;core_data!$B$31,core_data!$N$31,"X")</f>
        <v>37.376666666666665</v>
      </c>
      <c r="G76" s="328">
        <f>IF(C76="B"&amp;core_data!$B$31,core_data!$R$31,"X")</f>
        <v>37.343333333333334</v>
      </c>
      <c r="H76" s="137">
        <v>43781</v>
      </c>
      <c r="I76" s="137">
        <v>43782</v>
      </c>
      <c r="J76" s="136">
        <v>-5</v>
      </c>
      <c r="K76" s="136">
        <v>10.02</v>
      </c>
      <c r="L76" s="98">
        <f>PI()*(AVERAGE(core_data!$N$31/1000,core_data!$R$31/1000)/2)^2</f>
        <v>1.0962348803659908E-3</v>
      </c>
      <c r="M76" s="213">
        <f>SUM(mass!$C$18,mass!$K$18,mass!$N$18,mass!$M$23)+mass!$B$23+mass!$C$23+mass!$D$23+mass!$E$23</f>
        <v>23.768900000000002</v>
      </c>
      <c r="N76" s="96">
        <f>0.9541+0.9733+0.9808+1.0018+0.6237</f>
        <v>4.5337000000000005</v>
      </c>
      <c r="O76" s="100">
        <f t="shared" si="42"/>
        <v>28.302600000000002</v>
      </c>
      <c r="P76" s="201">
        <f t="shared" si="43"/>
        <v>0.16018669662857829</v>
      </c>
      <c r="Q76" s="101">
        <f t="shared" si="44"/>
        <v>277.55369229000001</v>
      </c>
      <c r="R76" s="317">
        <f t="shared" si="45"/>
        <v>0.25318816000211147</v>
      </c>
      <c r="S76" s="96" t="s">
        <v>81</v>
      </c>
      <c r="T76" s="96" t="s">
        <v>77</v>
      </c>
      <c r="U76" s="236">
        <v>0.87083333333333324</v>
      </c>
      <c r="V76" s="222" t="str">
        <f t="shared" si="17"/>
        <v>G</v>
      </c>
      <c r="W76" s="276" t="s">
        <v>143</v>
      </c>
      <c r="X76" s="277"/>
      <c r="Y76" s="277"/>
      <c r="Z76" s="277"/>
      <c r="AA76" s="277"/>
      <c r="AB76" s="277"/>
      <c r="AC76" s="277"/>
      <c r="AD76" s="277"/>
    </row>
    <row r="77" spans="1:30" ht="14.25" x14ac:dyDescent="0.2">
      <c r="A77" s="122">
        <v>77</v>
      </c>
      <c r="B77" s="122" t="s">
        <v>13</v>
      </c>
      <c r="C77" s="122" t="s">
        <v>17</v>
      </c>
      <c r="D77" s="328">
        <f>IF(B77="A0"&amp;core_data!$B$20,core_data!$F$20,"X")</f>
        <v>93.096666666666678</v>
      </c>
      <c r="E77" s="328">
        <f>IF(C77="B0"&amp;core_data!$B$20,core_data!$J$20,"X")</f>
        <v>93.05</v>
      </c>
      <c r="F77" s="328">
        <f>IF(B77="A0"&amp;core_data!$B$20,core_data!$N$20,"X")</f>
        <v>37.286666666666669</v>
      </c>
      <c r="G77" s="328">
        <f>IF(C77="B0"&amp;core_data!$B$20,core_data!$R$20,"X")</f>
        <v>37.256666666666668</v>
      </c>
      <c r="H77" s="123">
        <v>43782</v>
      </c>
      <c r="I77" s="123">
        <v>43783</v>
      </c>
      <c r="J77" s="124">
        <v>-2.5</v>
      </c>
      <c r="K77" s="124">
        <v>9.98</v>
      </c>
      <c r="L77" s="126">
        <f>PI()*(AVERAGE(core_data!$N$20/1000,core_data!$R$20/1000)/2)^2</f>
        <v>1.0910571713353939E-3</v>
      </c>
      <c r="M77" s="212">
        <f>mass!$C$18+mass!$K$18+mass!$N$18+mass!$M$23+mass!$B$23+mass!$C$23</f>
        <v>18.803900000000002</v>
      </c>
      <c r="N77" s="124">
        <v>0.2893</v>
      </c>
      <c r="O77" s="125">
        <f t="shared" ref="O77" si="46">M77+N77</f>
        <v>19.093200000000003</v>
      </c>
      <c r="P77" s="190">
        <f t="shared" si="43"/>
        <v>1.5151991284855339E-2</v>
      </c>
      <c r="Q77" s="130">
        <f t="shared" si="44"/>
        <v>187.24032978000002</v>
      </c>
      <c r="R77" s="324">
        <f t="shared" si="45"/>
        <v>0.1716136740578206</v>
      </c>
      <c r="S77" s="124" t="s">
        <v>81</v>
      </c>
      <c r="T77" s="124" t="s">
        <v>77</v>
      </c>
      <c r="U77" s="235">
        <v>0.80972222222222223</v>
      </c>
      <c r="V77" s="222" t="str">
        <f t="shared" si="17"/>
        <v>G</v>
      </c>
      <c r="W77" s="262" t="s">
        <v>145</v>
      </c>
      <c r="X77" s="263"/>
      <c r="Y77" s="263"/>
      <c r="Z77" s="263"/>
      <c r="AA77" s="263"/>
      <c r="AB77" s="263"/>
      <c r="AC77" s="263"/>
      <c r="AD77" s="263"/>
    </row>
    <row r="78" spans="1:30" ht="14.1" customHeight="1" x14ac:dyDescent="0.2">
      <c r="A78" s="122">
        <v>78</v>
      </c>
      <c r="B78" s="122" t="s">
        <v>15</v>
      </c>
      <c r="C78" s="122" t="s">
        <v>18</v>
      </c>
      <c r="D78" s="328">
        <f>IF(B78="A0"&amp;core_data!$B$21,core_data!$F$21,"X")</f>
        <v>93.179999999999993</v>
      </c>
      <c r="E78" s="328">
        <f>IF(C78="B0"&amp;core_data!$B$21,core_data!$J$21,"X")</f>
        <v>92.759999999999991</v>
      </c>
      <c r="F78" s="328">
        <f>IF(B78="A0"&amp;core_data!$B$21,core_data!$N$21,"X")</f>
        <v>37.366666666666667</v>
      </c>
      <c r="G78" s="328">
        <f>IF(C78="B0"&amp;core_data!$B$21,core_data!$R$21,"X")</f>
        <v>37.216666666666669</v>
      </c>
      <c r="H78" s="123">
        <v>43782</v>
      </c>
      <c r="I78" s="123">
        <v>43783</v>
      </c>
      <c r="J78" s="124">
        <v>-2.5</v>
      </c>
      <c r="K78" s="124">
        <v>9.92</v>
      </c>
      <c r="L78" s="126">
        <f>PI()*(AVERAGE(core_data!$N$21/1000,core_data!$R$21/1000)/2)^2</f>
        <v>1.0922284094365296E-3</v>
      </c>
      <c r="M78" s="212">
        <f>mass!$C$18+mass!$K$18+mass!$N$18+mass!$M$23+mass!$B$23+mass!$C$23</f>
        <v>18.803900000000002</v>
      </c>
      <c r="N78" s="124"/>
      <c r="O78" s="125"/>
      <c r="P78" s="190"/>
      <c r="Q78" s="130"/>
      <c r="R78" s="324"/>
      <c r="S78" s="124" t="s">
        <v>81</v>
      </c>
      <c r="T78" s="124" t="s">
        <v>77</v>
      </c>
      <c r="U78" s="235">
        <v>0.81458333333333333</v>
      </c>
      <c r="V78" s="222" t="str">
        <f t="shared" si="17"/>
        <v>B</v>
      </c>
      <c r="W78" s="262" t="s">
        <v>145</v>
      </c>
      <c r="X78" s="263"/>
      <c r="Y78" s="263"/>
      <c r="Z78" s="263"/>
      <c r="AA78" s="263"/>
      <c r="AB78" s="263"/>
      <c r="AC78" s="263"/>
      <c r="AD78" s="263"/>
    </row>
    <row r="79" spans="1:30" ht="14.1" customHeight="1" x14ac:dyDescent="0.2">
      <c r="A79" s="122">
        <v>79</v>
      </c>
      <c r="B79" s="122" t="s">
        <v>91</v>
      </c>
      <c r="C79" s="122" t="s">
        <v>92</v>
      </c>
      <c r="D79" s="328">
        <f>IF(B79="A0"&amp;core_data!$B$22,core_data!$F$22,"X")</f>
        <v>94.673333333333332</v>
      </c>
      <c r="E79" s="328">
        <f>IF(C79="B0"&amp;core_data!$B$22,core_data!$J$22,"X")</f>
        <v>95.55</v>
      </c>
      <c r="F79" s="328">
        <f>IF(B79="A0"&amp;core_data!$B$22,core_data!$N$22,"X")</f>
        <v>37.373333333333335</v>
      </c>
      <c r="G79" s="328">
        <f>IF(C79="B0"&amp;core_data!$B$22,core_data!$R$22,"X")</f>
        <v>37.333333333333336</v>
      </c>
      <c r="H79" s="123">
        <v>43782</v>
      </c>
      <c r="I79" s="123">
        <v>43783</v>
      </c>
      <c r="J79" s="124">
        <v>-2.5</v>
      </c>
      <c r="K79" s="124">
        <v>9.9</v>
      </c>
      <c r="L79" s="126">
        <f>PI()*(AVERAGE(core_data!$N$22/1000,core_data!$R$22/1000)/2)^2</f>
        <v>1.0958436822674491E-3</v>
      </c>
      <c r="M79" s="212">
        <f>mass!$C$18+mass!$K$18+mass!$N$18+mass!$M$23+mass!$B$23</f>
        <v>16.308900000000001</v>
      </c>
      <c r="N79" s="124">
        <v>6.0299999999999999E-2</v>
      </c>
      <c r="O79" s="125">
        <f t="shared" ref="O79:O81" si="47">M79+N79</f>
        <v>16.369200000000003</v>
      </c>
      <c r="P79" s="190">
        <f t="shared" ref="P79:P81" si="48">N79/O79</f>
        <v>3.6837475258412133E-3</v>
      </c>
      <c r="Q79" s="130">
        <f t="shared" ref="Q79:Q81" si="49">O79*9.80665</f>
        <v>160.52701518000001</v>
      </c>
      <c r="R79" s="324">
        <f t="shared" ref="R79:R81" si="50">Q79/L79/1000000</f>
        <v>0.14648714755360714</v>
      </c>
      <c r="S79" s="124" t="s">
        <v>81</v>
      </c>
      <c r="T79" s="124" t="s">
        <v>77</v>
      </c>
      <c r="U79" s="235">
        <v>0.81944444444444453</v>
      </c>
      <c r="V79" s="222" t="str">
        <f t="shared" si="17"/>
        <v>G</v>
      </c>
      <c r="W79" s="262" t="s">
        <v>212</v>
      </c>
      <c r="X79" s="263"/>
      <c r="Y79" s="263"/>
      <c r="Z79" s="263"/>
      <c r="AA79" s="263"/>
      <c r="AB79" s="263"/>
      <c r="AC79" s="263"/>
      <c r="AD79" s="263"/>
    </row>
    <row r="80" spans="1:30" ht="14.1" customHeight="1" x14ac:dyDescent="0.2">
      <c r="A80" s="122">
        <v>80</v>
      </c>
      <c r="B80" s="122" t="s">
        <v>94</v>
      </c>
      <c r="C80" s="122" t="s">
        <v>95</v>
      </c>
      <c r="D80" s="328">
        <f>IF(B80="A0"&amp;core_data!$B$23,core_data!$F$23,"X")</f>
        <v>94.280000000000015</v>
      </c>
      <c r="E80" s="328">
        <f>IF(C80="B0"&amp;core_data!$B$23,core_data!$J$23,"X")</f>
        <v>94.649999999999991</v>
      </c>
      <c r="F80" s="328">
        <f>IF(B80="A0"&amp;core_data!$B$23,core_data!$N$23,"X")</f>
        <v>37.330000000000005</v>
      </c>
      <c r="G80" s="328">
        <f>IF(C80="B0"&amp;core_data!$B$23,core_data!$R$23,"X")</f>
        <v>37.36333333333333</v>
      </c>
      <c r="H80" s="123">
        <v>43782</v>
      </c>
      <c r="I80" s="123">
        <v>43783</v>
      </c>
      <c r="J80" s="124">
        <v>-2.5</v>
      </c>
      <c r="K80" s="124">
        <v>9.99</v>
      </c>
      <c r="L80" s="126">
        <f>PI()*(AVERAGE(core_data!$N$23/1000,core_data!$R$23/1000)/2)^2</f>
        <v>1.095452553982077E-3</v>
      </c>
      <c r="M80" s="212">
        <f>mass!$C$18+mass!$K$18+mass!$N$18+mass!$M$23</f>
        <v>13.8239</v>
      </c>
      <c r="N80" s="124">
        <f>0.9794+1.0162+0.9522+0.1193</f>
        <v>3.0670999999999999</v>
      </c>
      <c r="O80" s="125">
        <f t="shared" si="47"/>
        <v>16.890999999999998</v>
      </c>
      <c r="P80" s="190">
        <f t="shared" si="48"/>
        <v>0.18158190752471731</v>
      </c>
      <c r="Q80" s="130">
        <f t="shared" si="49"/>
        <v>165.64412514999998</v>
      </c>
      <c r="R80" s="324">
        <f t="shared" si="50"/>
        <v>0.15121067959344056</v>
      </c>
      <c r="S80" s="124" t="s">
        <v>81</v>
      </c>
      <c r="T80" s="124" t="s">
        <v>77</v>
      </c>
      <c r="U80" s="235">
        <v>0.82777777777777783</v>
      </c>
      <c r="V80" s="222" t="str">
        <f t="shared" si="17"/>
        <v>G</v>
      </c>
      <c r="W80" s="262" t="s">
        <v>145</v>
      </c>
      <c r="X80" s="263"/>
      <c r="Y80" s="263"/>
      <c r="Z80" s="263"/>
      <c r="AA80" s="263"/>
      <c r="AB80" s="263"/>
      <c r="AC80" s="263"/>
      <c r="AD80" s="263"/>
    </row>
    <row r="81" spans="1:30" ht="14.1" customHeight="1" x14ac:dyDescent="0.2">
      <c r="A81" s="122">
        <v>81</v>
      </c>
      <c r="B81" s="122" t="s">
        <v>112</v>
      </c>
      <c r="C81" s="122" t="s">
        <v>113</v>
      </c>
      <c r="D81" s="328">
        <f>IF(B81="A"&amp;core_data!$B$32,core_data!$F$32,"X")</f>
        <v>96.176666666666662</v>
      </c>
      <c r="E81" s="328">
        <f>IF(C81="B"&amp;core_data!$B$32,core_data!$J$32,"X")</f>
        <v>94.953333333333333</v>
      </c>
      <c r="F81" s="328">
        <f>IF(B81="A"&amp;core_data!$B$32,core_data!$N$32,"X")</f>
        <v>37.393333333333338</v>
      </c>
      <c r="G81" s="328">
        <f>IF(C81="B"&amp;core_data!$B$32,core_data!$R$32,"X")</f>
        <v>37.330000000000005</v>
      </c>
      <c r="H81" s="123">
        <v>43782</v>
      </c>
      <c r="I81" s="123">
        <v>43783</v>
      </c>
      <c r="J81" s="124">
        <v>-2.5</v>
      </c>
      <c r="K81" s="124">
        <v>9.92</v>
      </c>
      <c r="L81" s="126">
        <f>PI()*(AVERAGE(core_data!$N$32/1000,core_data!$R$32/1000)/2)^2</f>
        <v>1.0963326907989345E-3</v>
      </c>
      <c r="M81" s="212">
        <f>mass!$C$18+mass!$K$18+mass!$N$18+mass!$M$23</f>
        <v>13.8239</v>
      </c>
      <c r="N81" s="124">
        <f>0.9521+0.9843+0.8907</f>
        <v>2.8270999999999997</v>
      </c>
      <c r="O81" s="125">
        <f t="shared" si="47"/>
        <v>16.651</v>
      </c>
      <c r="P81" s="190">
        <f t="shared" si="48"/>
        <v>0.16978559846255478</v>
      </c>
      <c r="Q81" s="130">
        <f t="shared" si="49"/>
        <v>163.29052915</v>
      </c>
      <c r="R81" s="324">
        <f t="shared" si="50"/>
        <v>0.14894249758347047</v>
      </c>
      <c r="S81" s="124" t="s">
        <v>81</v>
      </c>
      <c r="T81" s="124" t="s">
        <v>77</v>
      </c>
      <c r="U81" s="235">
        <v>0.83472222222222225</v>
      </c>
      <c r="V81" s="222" t="str">
        <f t="shared" si="17"/>
        <v>G</v>
      </c>
      <c r="W81" s="262" t="s">
        <v>146</v>
      </c>
      <c r="X81" s="263"/>
      <c r="Y81" s="263"/>
      <c r="Z81" s="263"/>
      <c r="AA81" s="263"/>
      <c r="AB81" s="263"/>
      <c r="AC81" s="263"/>
      <c r="AD81" s="263"/>
    </row>
    <row r="82" spans="1:30" ht="14.1" customHeight="1" x14ac:dyDescent="0.2">
      <c r="A82" s="122">
        <v>82</v>
      </c>
      <c r="B82" s="122" t="s">
        <v>116</v>
      </c>
      <c r="C82" s="122" t="s">
        <v>117</v>
      </c>
      <c r="D82" s="328">
        <f>IF(B82="A"&amp;core_data!$B$33,core_data!$F$33,"X")</f>
        <v>96.52</v>
      </c>
      <c r="E82" s="328">
        <f>IF(C82="B"&amp;core_data!$B$33,core_data!$J$33,"X")</f>
        <v>97.326666666666668</v>
      </c>
      <c r="F82" s="328">
        <f>IF(B82="A"&amp;core_data!$B$33,core_data!$N$33,"X")</f>
        <v>37.22</v>
      </c>
      <c r="G82" s="328">
        <f>IF(C82="B"&amp;core_data!$B$33,core_data!$R$33,"X")</f>
        <v>37.270000000000003</v>
      </c>
      <c r="H82" s="123">
        <v>43782</v>
      </c>
      <c r="I82" s="123">
        <v>43783</v>
      </c>
      <c r="J82" s="124">
        <v>-2.5</v>
      </c>
      <c r="K82" s="124">
        <v>10.02</v>
      </c>
      <c r="L82" s="126">
        <f>PI()*(AVERAGE(core_data!$N$33/1000,core_data!$R$33/1000)/2)^2</f>
        <v>1.0894964979182604E-3</v>
      </c>
      <c r="M82" s="212">
        <f>mass!$C$18+mass!$K$18+mass!$N$18+mass!$M$23</f>
        <v>13.8239</v>
      </c>
      <c r="N82" s="124">
        <f>0.0591</f>
        <v>5.91E-2</v>
      </c>
      <c r="O82" s="125">
        <f t="shared" ref="O82" si="51">M82+N82</f>
        <v>13.883000000000001</v>
      </c>
      <c r="P82" s="190">
        <f t="shared" ref="P82" si="52">N82/O82</f>
        <v>4.2570049701073252E-3</v>
      </c>
      <c r="Q82" s="130">
        <f t="shared" ref="Q82" si="53">O82*9.80665</f>
        <v>136.14572195</v>
      </c>
      <c r="R82" s="324">
        <f t="shared" ref="R82" si="54">Q82/L82/1000000</f>
        <v>0.12496205560103998</v>
      </c>
      <c r="S82" s="124" t="s">
        <v>81</v>
      </c>
      <c r="T82" s="124" t="s">
        <v>77</v>
      </c>
      <c r="U82" s="235">
        <v>0.84652777777777777</v>
      </c>
      <c r="V82" s="222" t="str">
        <f t="shared" si="17"/>
        <v>G</v>
      </c>
      <c r="W82" s="262" t="s">
        <v>213</v>
      </c>
      <c r="X82" s="263"/>
      <c r="Y82" s="263"/>
      <c r="Z82" s="263"/>
      <c r="AA82" s="263"/>
      <c r="AB82" s="263"/>
      <c r="AC82" s="263"/>
      <c r="AD82" s="263"/>
    </row>
    <row r="83" spans="1:30" ht="14.1" customHeight="1" x14ac:dyDescent="0.2">
      <c r="A83" s="122">
        <v>83</v>
      </c>
      <c r="B83" s="122" t="s">
        <v>79</v>
      </c>
      <c r="C83" s="122" t="s">
        <v>80</v>
      </c>
      <c r="D83" s="328">
        <f>IF(B83="A"&amp;core_data!$B$34,core_data!$F$34,"X")</f>
        <v>98.8</v>
      </c>
      <c r="E83" s="328">
        <f>IF(C83="B"&amp;core_data!$B$34,core_data!$J$34,"X")</f>
        <v>98.813333333333333</v>
      </c>
      <c r="F83" s="328">
        <f>IF(B83="A"&amp;core_data!$B$34,core_data!$N$34,"X")</f>
        <v>37.373333333333335</v>
      </c>
      <c r="G83" s="328">
        <f>IF(C83="B"&amp;core_data!$B$34,core_data!$R$34,"X")</f>
        <v>37.416666666666664</v>
      </c>
      <c r="H83" s="123">
        <v>43782</v>
      </c>
      <c r="I83" s="123">
        <v>43783</v>
      </c>
      <c r="J83" s="124">
        <v>-2.5</v>
      </c>
      <c r="K83" s="125">
        <v>9.9700000000000006</v>
      </c>
      <c r="L83" s="126">
        <f>PI()*(AVERAGE(core_data!$N$34/1000,core_data!$R$34/1000)/2)^2</f>
        <v>1.098289815755658E-3</v>
      </c>
      <c r="M83" s="212">
        <f>mass!$C$18+mass!$K$18+mass!$N$18+mass!$M$23</f>
        <v>13.8239</v>
      </c>
      <c r="N83" s="124">
        <f>0.8169+0.1634</f>
        <v>0.98029999999999995</v>
      </c>
      <c r="O83" s="125">
        <f t="shared" ref="O83" si="55">M83+N83</f>
        <v>14.8042</v>
      </c>
      <c r="P83" s="190">
        <f t="shared" ref="P83:P91" si="56">N83/O83</f>
        <v>6.6217694978452063E-2</v>
      </c>
      <c r="Q83" s="130">
        <f t="shared" ref="Q83:Q91" si="57">O83*9.80665</f>
        <v>145.17960793</v>
      </c>
      <c r="R83" s="324">
        <f t="shared" ref="R83" si="58">Q83/L83/1000000</f>
        <v>0.13218697455562933</v>
      </c>
      <c r="S83" s="124" t="s">
        <v>81</v>
      </c>
      <c r="T83" s="124" t="s">
        <v>77</v>
      </c>
      <c r="U83" s="235">
        <v>0.85069444444444453</v>
      </c>
      <c r="V83" s="222" t="str">
        <f t="shared" si="17"/>
        <v>G</v>
      </c>
      <c r="W83" s="262" t="s">
        <v>145</v>
      </c>
      <c r="X83" s="263"/>
      <c r="Y83" s="263"/>
      <c r="Z83" s="263"/>
      <c r="AA83" s="263"/>
      <c r="AB83" s="263"/>
      <c r="AC83" s="263"/>
      <c r="AD83" s="263"/>
    </row>
    <row r="84" spans="1:30" ht="14.25" x14ac:dyDescent="0.2">
      <c r="A84" s="94">
        <v>84</v>
      </c>
      <c r="B84" s="94" t="s">
        <v>97</v>
      </c>
      <c r="C84" s="94" t="s">
        <v>98</v>
      </c>
      <c r="D84" s="328">
        <f>IF(B84="A0"&amp;core_data!$B$24,core_data!$F$24,"X")</f>
        <v>97.813333333333333</v>
      </c>
      <c r="E84" s="328">
        <f>IF(C84="B0"&amp;core_data!$B$24,core_data!$J$24,"X")</f>
        <v>98.403333333333322</v>
      </c>
      <c r="F84" s="328">
        <f>IF(B84="A0"&amp;core_data!$B$24,core_data!$N$24,"X")</f>
        <v>37.406666666666666</v>
      </c>
      <c r="G84" s="328">
        <f>IF(C84="B0"&amp;core_data!$B$24,core_data!$R$24,"X")</f>
        <v>37.346666666666671</v>
      </c>
      <c r="H84" s="137">
        <v>43784</v>
      </c>
      <c r="I84" s="137">
        <v>43785</v>
      </c>
      <c r="J84" s="136">
        <v>-22.5</v>
      </c>
      <c r="K84" s="136">
        <v>9.93</v>
      </c>
      <c r="L84" s="98">
        <f>PI()*(AVERAGE(core_data!$N$24/1000,core_data!$R$24/1000)/2)^2</f>
        <v>1.0972131810449654E-3</v>
      </c>
      <c r="M84" s="213">
        <f>SUM(mass!$B$18:$N$18)+SUM(mass!$B$23:$M$23)</f>
        <v>67.036600000000007</v>
      </c>
      <c r="N84" s="217" t="s">
        <v>88</v>
      </c>
      <c r="O84" s="100"/>
      <c r="P84" s="201"/>
      <c r="Q84" s="101"/>
      <c r="R84" s="317"/>
      <c r="S84" s="96" t="s">
        <v>81</v>
      </c>
      <c r="T84" s="96" t="s">
        <v>77</v>
      </c>
      <c r="U84" s="236">
        <v>0.76250000000000007</v>
      </c>
      <c r="V84" s="222" t="str">
        <f t="shared" si="17"/>
        <v>B</v>
      </c>
      <c r="W84" s="276" t="s">
        <v>217</v>
      </c>
      <c r="X84" s="277"/>
      <c r="Y84" s="277"/>
      <c r="Z84" s="277"/>
      <c r="AA84" s="277"/>
      <c r="AB84" s="277"/>
      <c r="AC84" s="277"/>
      <c r="AD84" s="277"/>
    </row>
    <row r="85" spans="1:30" ht="14.25" x14ac:dyDescent="0.2">
      <c r="A85" s="94">
        <v>85</v>
      </c>
      <c r="B85" s="172" t="s">
        <v>100</v>
      </c>
      <c r="C85" s="172" t="s">
        <v>101</v>
      </c>
      <c r="D85" s="328">
        <f>IF(B85="A0"&amp;core_data!$B$25,core_data!$F$25,"X")</f>
        <v>93.926666666666662</v>
      </c>
      <c r="E85" s="328">
        <f>IF(C85="B0"&amp;core_data!$B$25,core_data!$J$25,"X")</f>
        <v>93.243333333333325</v>
      </c>
      <c r="F85" s="328">
        <f>IF(B85="A0"&amp;core_data!$B$25,core_data!$N$25,"X")</f>
        <v>37.336666666666666</v>
      </c>
      <c r="G85" s="328">
        <f>IF(C85="B0"&amp;core_data!$B$25,core_data!$R$25,"X")</f>
        <v>37.26</v>
      </c>
      <c r="H85" s="137">
        <v>43784</v>
      </c>
      <c r="I85" s="137">
        <v>43785</v>
      </c>
      <c r="J85" s="136">
        <v>-22.5</v>
      </c>
      <c r="K85" s="136">
        <v>9.9600000000000009</v>
      </c>
      <c r="L85" s="98">
        <f>PI()*(AVERAGE(core_data!$N$25/1000,core_data!$R$25/1000)/2)^2</f>
        <v>1.0926189617632485E-3</v>
      </c>
      <c r="M85" s="213">
        <f>SUM(mass!$B$18:$N$18)+SUM(mass!$B$23:$M$23)</f>
        <v>67.036600000000007</v>
      </c>
      <c r="N85" s="96">
        <f>1.0027+0.9615+0.9785+1.0252+1.0437+0.8367</f>
        <v>5.8483000000000001</v>
      </c>
      <c r="O85" s="100">
        <f t="shared" ref="O85:O91" si="59">N85+M85</f>
        <v>72.884900000000002</v>
      </c>
      <c r="P85" s="201">
        <f t="shared" si="56"/>
        <v>8.0240214365389806E-2</v>
      </c>
      <c r="Q85" s="101">
        <f t="shared" si="57"/>
        <v>714.75670458499997</v>
      </c>
      <c r="R85" s="317">
        <f t="shared" ref="R85:R91" si="60">Q85/L85/1000000</f>
        <v>0.65416831447949497</v>
      </c>
      <c r="S85" s="96" t="s">
        <v>81</v>
      </c>
      <c r="T85" s="96" t="s">
        <v>82</v>
      </c>
      <c r="U85" s="236">
        <v>0.77847222222222223</v>
      </c>
      <c r="V85" s="222" t="str">
        <f t="shared" si="17"/>
        <v>G</v>
      </c>
      <c r="W85" s="276" t="s">
        <v>217</v>
      </c>
      <c r="X85" s="277"/>
      <c r="Y85" s="277"/>
      <c r="Z85" s="277"/>
      <c r="AA85" s="277"/>
      <c r="AB85" s="277"/>
      <c r="AC85" s="277"/>
      <c r="AD85" s="277"/>
    </row>
    <row r="86" spans="1:30" ht="14.25" x14ac:dyDescent="0.2">
      <c r="A86" s="94">
        <v>86</v>
      </c>
      <c r="B86" s="94" t="s">
        <v>102</v>
      </c>
      <c r="C86" s="94" t="s">
        <v>103</v>
      </c>
      <c r="D86" s="328">
        <f>IF(B86="A0"&amp;core_data!$B$26,core_data!$F$26,"X")</f>
        <v>89.399999999999991</v>
      </c>
      <c r="E86" s="328">
        <f>IF(C86="B0"&amp;core_data!$B$26,core_data!$J$26,"X")</f>
        <v>91.606666666666669</v>
      </c>
      <c r="F86" s="328">
        <f>IF(B86="A0"&amp;core_data!$B$26,core_data!$N$26,"X")</f>
        <v>37.353333333333332</v>
      </c>
      <c r="G86" s="328">
        <f>IF(C86="B0"&amp;core_data!$B$26,core_data!$R$26,"X")</f>
        <v>37.360000000000007</v>
      </c>
      <c r="H86" s="137">
        <v>43784</v>
      </c>
      <c r="I86" s="137">
        <v>43785</v>
      </c>
      <c r="J86" s="136">
        <v>-22.5</v>
      </c>
      <c r="K86" s="136">
        <v>10.029999999999999</v>
      </c>
      <c r="L86" s="98">
        <f>PI()*(AVERAGE(core_data!$N$26/1000,core_data!$R$26/1000)/2)^2</f>
        <v>1.0960392725900734E-3</v>
      </c>
      <c r="M86" s="213">
        <f>SUM(mass!$B$18:$N$18)+SUM(mass!$B$23:$M$23)+mass!B29</f>
        <v>69.691600000000008</v>
      </c>
      <c r="N86" s="96">
        <f>SUM(mass!E29:K29)+0.9877+0.9933+0.9568+0.9237+0.9102+0.906+0.642</f>
        <v>12.357799999999999</v>
      </c>
      <c r="O86" s="100">
        <f t="shared" si="59"/>
        <v>82.049400000000006</v>
      </c>
      <c r="P86" s="201">
        <f t="shared" si="56"/>
        <v>0.15061414221188696</v>
      </c>
      <c r="Q86" s="101">
        <f t="shared" si="57"/>
        <v>804.62974851000001</v>
      </c>
      <c r="R86" s="317">
        <f t="shared" si="60"/>
        <v>0.73412492474705082</v>
      </c>
      <c r="S86" s="96" t="s">
        <v>81</v>
      </c>
      <c r="T86" s="96" t="s">
        <v>77</v>
      </c>
      <c r="U86" s="236">
        <v>0.81736111111111109</v>
      </c>
      <c r="V86" s="222" t="str">
        <f t="shared" si="17"/>
        <v>G</v>
      </c>
      <c r="W86" s="276" t="s">
        <v>229</v>
      </c>
      <c r="X86" s="277"/>
      <c r="Y86" s="277"/>
      <c r="Z86" s="277"/>
      <c r="AA86" s="277"/>
      <c r="AB86" s="277"/>
      <c r="AC86" s="277"/>
      <c r="AD86" s="277"/>
    </row>
    <row r="87" spans="1:30" ht="14.25" x14ac:dyDescent="0.2">
      <c r="A87" s="94">
        <v>87</v>
      </c>
      <c r="B87" s="172" t="s">
        <v>104</v>
      </c>
      <c r="C87" s="172" t="s">
        <v>105</v>
      </c>
      <c r="D87" s="328">
        <f>IF(B87="A0"&amp;core_data!$B$27,core_data!$F$27,"X")</f>
        <v>90.696666666666673</v>
      </c>
      <c r="E87" s="328">
        <f>IF(C87="B0"&amp;core_data!$B$27,core_data!$J$27,"X")</f>
        <v>89.473333333333343</v>
      </c>
      <c r="F87" s="328">
        <f>IF(B87="A0"&amp;core_data!$B$27,core_data!$N$27,"X")</f>
        <v>37.346666666666671</v>
      </c>
      <c r="G87" s="328">
        <f>IF(C87="B0"&amp;core_data!$B$27,core_data!$R$27,"X")</f>
        <v>37.360000000000007</v>
      </c>
      <c r="H87" s="137">
        <v>43784</v>
      </c>
      <c r="I87" s="137">
        <v>43785</v>
      </c>
      <c r="J87" s="136">
        <v>-22.5</v>
      </c>
      <c r="K87" s="181">
        <v>9.92</v>
      </c>
      <c r="L87" s="98">
        <f>PI()*(AVERAGE(core_data!$N$27/1000,core_data!$R$27/1000)/2)^2</f>
        <v>1.0958436822674491E-3</v>
      </c>
      <c r="M87" s="213">
        <f>SUM(mass!B$18:N$18)+mass!O$29+SUM(mass!B$23:M$23)+mass!B$29+mass!C$29+mass!L$29+mass!M$29+mass!N$29</f>
        <v>77.669800000000009</v>
      </c>
      <c r="N87" s="217"/>
      <c r="O87" s="100"/>
      <c r="P87" s="201"/>
      <c r="Q87" s="101"/>
      <c r="R87" s="317"/>
      <c r="S87" s="96" t="s">
        <v>81</v>
      </c>
      <c r="T87" s="96" t="s">
        <v>77</v>
      </c>
      <c r="U87" s="236">
        <v>0.85486111111111107</v>
      </c>
      <c r="V87" s="222" t="str">
        <f t="shared" si="17"/>
        <v>B</v>
      </c>
      <c r="W87" s="276" t="s">
        <v>217</v>
      </c>
      <c r="X87" s="277"/>
      <c r="Y87" s="277"/>
      <c r="Z87" s="277"/>
      <c r="AA87" s="277"/>
      <c r="AB87" s="277"/>
      <c r="AC87" s="277"/>
      <c r="AD87" s="277"/>
    </row>
    <row r="88" spans="1:30" ht="14.25" x14ac:dyDescent="0.2">
      <c r="A88" s="94">
        <v>88</v>
      </c>
      <c r="B88" s="94" t="s">
        <v>106</v>
      </c>
      <c r="C88" s="94" t="s">
        <v>107</v>
      </c>
      <c r="D88" s="328">
        <f>IF(B88="A0"&amp;core_data!$B$28,core_data!$F$28,"X")</f>
        <v>83.17</v>
      </c>
      <c r="E88" s="328">
        <f>IF(C88="B0"&amp;core_data!$B$28,core_data!$J$28,"X")</f>
        <v>88.483333333333334</v>
      </c>
      <c r="F88" s="328">
        <f>IF(B88="A0"&amp;core_data!$B$28,core_data!$N$28,"X")</f>
        <v>37.356666666666669</v>
      </c>
      <c r="G88" s="328">
        <f>IF(C88="B0"&amp;core_data!$B$28,core_data!$R$28,"X")</f>
        <v>37.346666666666664</v>
      </c>
      <c r="H88" s="137">
        <v>43784</v>
      </c>
      <c r="I88" s="137">
        <v>43785</v>
      </c>
      <c r="J88" s="136">
        <v>-22.5</v>
      </c>
      <c r="K88" s="136">
        <v>9.9499999999999993</v>
      </c>
      <c r="L88" s="98">
        <f>PI()*(AVERAGE(core_data!$N$28/1000,core_data!$R$28/1000)/2)^2</f>
        <v>1.0957458936511216E-3</v>
      </c>
      <c r="M88" s="213">
        <f>SUM(mass!B$18:N$18)+mass!O$29+SUM(mass!B$23:M$23)+mass!B$29+mass!C$29</f>
        <v>73.564200000000014</v>
      </c>
      <c r="N88" s="217"/>
      <c r="O88" s="100"/>
      <c r="P88" s="201"/>
      <c r="Q88" s="101"/>
      <c r="R88" s="317"/>
      <c r="S88" s="96" t="s">
        <v>81</v>
      </c>
      <c r="T88" s="96" t="s">
        <v>77</v>
      </c>
      <c r="U88" s="236">
        <v>0.85902777777777783</v>
      </c>
      <c r="V88" s="222" t="str">
        <f t="shared" si="17"/>
        <v>B</v>
      </c>
      <c r="W88" s="276" t="s">
        <v>217</v>
      </c>
      <c r="X88" s="277"/>
      <c r="Y88" s="277"/>
      <c r="Z88" s="277"/>
      <c r="AA88" s="277"/>
      <c r="AB88" s="277"/>
      <c r="AC88" s="277"/>
      <c r="AD88" s="277"/>
    </row>
    <row r="89" spans="1:30" ht="14.25" x14ac:dyDescent="0.2">
      <c r="A89" s="94">
        <v>89</v>
      </c>
      <c r="B89" s="172" t="s">
        <v>84</v>
      </c>
      <c r="C89" s="172" t="s">
        <v>85</v>
      </c>
      <c r="D89" s="328">
        <f>IF(B89="A"&amp;core_data!$B$29,core_data!$F$29,"X")</f>
        <v>100.06666666666666</v>
      </c>
      <c r="E89" s="328">
        <f>IF(C89="B"&amp;core_data!$B$29,core_data!$J$29,"X")</f>
        <v>97.666666666666671</v>
      </c>
      <c r="F89" s="328">
        <f>IF(B89="A"&amp;core_data!$B$29,core_data!$N$29,"X")</f>
        <v>37.35</v>
      </c>
      <c r="G89" s="328">
        <f>IF(C89="B"&amp;core_data!$B$29,core_data!$R$29,"X")</f>
        <v>37.366666666666667</v>
      </c>
      <c r="H89" s="137">
        <v>43784</v>
      </c>
      <c r="I89" s="137">
        <v>43785</v>
      </c>
      <c r="J89" s="136">
        <v>-22.5</v>
      </c>
      <c r="K89" s="136">
        <v>10.039999999999999</v>
      </c>
      <c r="L89" s="98">
        <f>PI()*(AVERAGE(core_data!$N$29/1000,core_data!$R$29/1000)/2)^2</f>
        <v>1.0961370742963708E-3</v>
      </c>
      <c r="M89" s="213">
        <f>SUM(mass!B$18:N$18)+mass!O$29+SUM(mass!B$23:M$23)+mass!B$29+mass!C$29</f>
        <v>73.564200000000014</v>
      </c>
      <c r="N89" s="217"/>
      <c r="O89" s="100"/>
      <c r="P89" s="201"/>
      <c r="Q89" s="101"/>
      <c r="R89" s="317"/>
      <c r="S89" s="96" t="s">
        <v>81</v>
      </c>
      <c r="T89" s="96" t="s">
        <v>77</v>
      </c>
      <c r="U89" s="236"/>
      <c r="V89" s="222" t="str">
        <f t="shared" si="17"/>
        <v>B</v>
      </c>
      <c r="W89" s="276" t="s">
        <v>217</v>
      </c>
      <c r="X89" s="277"/>
      <c r="Y89" s="277"/>
      <c r="Z89" s="277"/>
      <c r="AA89" s="277"/>
      <c r="AB89" s="277"/>
      <c r="AC89" s="277"/>
      <c r="AD89" s="277"/>
    </row>
    <row r="90" spans="1:30" ht="14.25" x14ac:dyDescent="0.2">
      <c r="A90" s="94">
        <v>90</v>
      </c>
      <c r="B90" s="94" t="s">
        <v>108</v>
      </c>
      <c r="C90" s="94" t="s">
        <v>109</v>
      </c>
      <c r="D90" s="328">
        <f>IF(B90="A"&amp;core_data!$B$30,core_data!$F$30,"X")</f>
        <v>102.02</v>
      </c>
      <c r="E90" s="328">
        <f>IF(C90="B"&amp;core_data!$B$30,core_data!$J$30,"X")</f>
        <v>102.01333333333334</v>
      </c>
      <c r="F90" s="328">
        <f>IF(B90="A"&amp;core_data!$B$30,core_data!$N$30,"X")</f>
        <v>37.423333333333332</v>
      </c>
      <c r="G90" s="328">
        <f>IF(C90="B"&amp;core_data!$B$30,core_data!$R$30,"X")</f>
        <v>37.403333333333336</v>
      </c>
      <c r="H90" s="137">
        <v>43784</v>
      </c>
      <c r="I90" s="137">
        <v>43785</v>
      </c>
      <c r="J90" s="136">
        <v>-22.5</v>
      </c>
      <c r="K90" s="181">
        <v>9.98</v>
      </c>
      <c r="L90" s="98">
        <f>PI()*(AVERAGE(core_data!$N$30/1000,core_data!$R$30/1000)/2)^2</f>
        <v>1.0993669784284499E-3</v>
      </c>
      <c r="M90" s="213">
        <f>SUM(mass!$B$18:$N$18)+mass!$O$29+SUM(mass!$F$23:$I$23,mass!$K$23,mass!$M$23)+mass!$B$29+mass!$C$29</f>
        <v>61.473500000000001</v>
      </c>
      <c r="N90" s="96">
        <f>mass!J23+mass!L23+mass!H29+mass!K29+mass!M29+mass!N29+1.0033+0.93+0.9026+0.9884+0.969+0.9568+0.9642+0.5708</f>
        <v>12.4879</v>
      </c>
      <c r="O90" s="100">
        <f t="shared" si="59"/>
        <v>73.961399999999998</v>
      </c>
      <c r="P90" s="201">
        <f t="shared" si="56"/>
        <v>0.16884347781410303</v>
      </c>
      <c r="Q90" s="101">
        <f t="shared" si="57"/>
        <v>725.31356330999995</v>
      </c>
      <c r="R90" s="317">
        <f t="shared" si="60"/>
        <v>0.65975563896492417</v>
      </c>
      <c r="S90" s="96" t="s">
        <v>81</v>
      </c>
      <c r="T90" s="96" t="s">
        <v>82</v>
      </c>
      <c r="U90" s="236">
        <v>0.875</v>
      </c>
      <c r="V90" s="222" t="str">
        <f t="shared" si="17"/>
        <v>G</v>
      </c>
      <c r="W90" s="276" t="s">
        <v>217</v>
      </c>
      <c r="X90" s="277"/>
      <c r="Y90" s="277"/>
      <c r="Z90" s="277"/>
      <c r="AA90" s="277"/>
      <c r="AB90" s="277"/>
      <c r="AC90" s="277"/>
      <c r="AD90" s="277"/>
    </row>
    <row r="91" spans="1:30" ht="14.25" x14ac:dyDescent="0.2">
      <c r="A91" s="94">
        <v>91</v>
      </c>
      <c r="B91" s="172" t="s">
        <v>110</v>
      </c>
      <c r="C91" s="172" t="s">
        <v>111</v>
      </c>
      <c r="D91" s="328">
        <f>IF(B91="A"&amp;core_data!$B$31,core_data!$F$31,"X")</f>
        <v>90.516666666666666</v>
      </c>
      <c r="E91" s="328">
        <f>IF(C91="B"&amp;core_data!$B$31,core_data!$J$31,"X")</f>
        <v>89.853333333333339</v>
      </c>
      <c r="F91" s="328">
        <f>IF(B91="A"&amp;core_data!$B$31,core_data!$N$31,"X")</f>
        <v>37.376666666666665</v>
      </c>
      <c r="G91" s="328">
        <f>IF(C91="B"&amp;core_data!$B$31,core_data!$R$31,"X")</f>
        <v>37.343333333333334</v>
      </c>
      <c r="H91" s="137">
        <v>43784</v>
      </c>
      <c r="I91" s="137">
        <v>43785</v>
      </c>
      <c r="J91" s="136">
        <v>-22.5</v>
      </c>
      <c r="K91" s="136">
        <v>10.02</v>
      </c>
      <c r="L91" s="98">
        <f>PI()*(AVERAGE(core_data!$N$31/1000,core_data!$R$31/1000)/2)^2</f>
        <v>1.0962348803659908E-3</v>
      </c>
      <c r="M91" s="213">
        <f>SUM(mass!$B$18:$N$18)+SUM(mass!$B$23:$M$23)+mass!$O$29+mass!$B$29+mass!$N$29+mass!$H$29</f>
        <v>71.477900000000005</v>
      </c>
      <c r="N91" s="96">
        <f>0.1686+0.9436+0.9334+0.9817+0.9767+1.03+0.8889+0.1561</f>
        <v>6.0790000000000006</v>
      </c>
      <c r="O91" s="100">
        <f t="shared" si="59"/>
        <v>77.556900000000013</v>
      </c>
      <c r="P91" s="201">
        <f t="shared" si="56"/>
        <v>7.8381162733425394E-2</v>
      </c>
      <c r="Q91" s="101">
        <f t="shared" si="57"/>
        <v>760.57337338500008</v>
      </c>
      <c r="R91" s="317">
        <f t="shared" si="60"/>
        <v>0.69380512060615496</v>
      </c>
      <c r="S91" s="96" t="s">
        <v>81</v>
      </c>
      <c r="T91" s="96" t="s">
        <v>82</v>
      </c>
      <c r="U91" s="236">
        <v>0.92013888888888884</v>
      </c>
      <c r="V91" s="222" t="str">
        <f t="shared" si="17"/>
        <v>G</v>
      </c>
      <c r="W91" s="276" t="s">
        <v>217</v>
      </c>
      <c r="X91" s="277"/>
      <c r="Y91" s="277"/>
      <c r="Z91" s="277"/>
      <c r="AA91" s="277"/>
      <c r="AB91" s="277"/>
      <c r="AC91" s="277"/>
      <c r="AD91" s="277"/>
    </row>
    <row r="92" spans="1:30" ht="14.25" x14ac:dyDescent="0.2">
      <c r="A92" s="122">
        <v>92</v>
      </c>
      <c r="B92" s="122" t="s">
        <v>13</v>
      </c>
      <c r="C92" s="122" t="s">
        <v>17</v>
      </c>
      <c r="D92" s="328">
        <f>IF(B92="A0"&amp;core_data!$B$20,core_data!$F$20,"X")</f>
        <v>93.096666666666678</v>
      </c>
      <c r="E92" s="328">
        <f>IF(C92="B0"&amp;core_data!$B$20,core_data!$J$20,"X")</f>
        <v>93.05</v>
      </c>
      <c r="F92" s="328">
        <f>IF(B92="A0"&amp;core_data!$B$20,core_data!$N$20,"X")</f>
        <v>37.286666666666669</v>
      </c>
      <c r="G92" s="328">
        <f>IF(C92="B0"&amp;core_data!$B$20,core_data!$R$20,"X")</f>
        <v>37.256666666666668</v>
      </c>
      <c r="H92" s="123">
        <v>43785</v>
      </c>
      <c r="I92" s="123">
        <v>43787</v>
      </c>
      <c r="J92" s="124">
        <v>-25</v>
      </c>
      <c r="K92" s="124">
        <v>10.220000000000001</v>
      </c>
      <c r="L92" s="126">
        <f>PI()*(AVERAGE(core_data!$N$20/1000,core_data!$R$20/1000)/2)^2</f>
        <v>1.0910571713353939E-3</v>
      </c>
      <c r="M92" s="212">
        <f>SUM(mass!$B$18:$N$18)+SUM(mass!$B$23:$M$23)+mass!$O$29+mass!$N$29+mass!$H$29</f>
        <v>68.822900000000004</v>
      </c>
      <c r="N92" s="124"/>
      <c r="O92" s="125"/>
      <c r="P92" s="190"/>
      <c r="Q92" s="130"/>
      <c r="R92" s="324"/>
      <c r="S92" s="124" t="s">
        <v>81</v>
      </c>
      <c r="T92" s="124" t="s">
        <v>140</v>
      </c>
      <c r="U92" s="235">
        <v>0.77986111111111101</v>
      </c>
      <c r="V92" s="222" t="str">
        <f t="shared" si="17"/>
        <v>B</v>
      </c>
      <c r="W92" s="262" t="s">
        <v>232</v>
      </c>
      <c r="X92" s="263"/>
      <c r="Y92" s="263"/>
      <c r="Z92" s="263"/>
      <c r="AA92" s="263"/>
      <c r="AB92" s="263"/>
      <c r="AC92" s="263"/>
      <c r="AD92" s="263"/>
    </row>
    <row r="93" spans="1:30" ht="14.1" customHeight="1" x14ac:dyDescent="0.2">
      <c r="A93" s="122">
        <v>93</v>
      </c>
      <c r="B93" s="122" t="s">
        <v>15</v>
      </c>
      <c r="C93" s="122" t="s">
        <v>18</v>
      </c>
      <c r="D93" s="328">
        <f>IF(B93="A0"&amp;core_data!$B$21,core_data!$F$21,"X")</f>
        <v>93.179999999999993</v>
      </c>
      <c r="E93" s="328">
        <f>IF(C93="B0"&amp;core_data!$B$21,core_data!$J$21,"X")</f>
        <v>92.759999999999991</v>
      </c>
      <c r="F93" s="328">
        <f>IF(B93="A0"&amp;core_data!$B$21,core_data!$N$21,"X")</f>
        <v>37.366666666666667</v>
      </c>
      <c r="G93" s="328">
        <f>IF(C93="B0"&amp;core_data!$B$21,core_data!$R$21,"X")</f>
        <v>37.216666666666669</v>
      </c>
      <c r="H93" s="123">
        <v>43785</v>
      </c>
      <c r="I93" s="123">
        <v>43787</v>
      </c>
      <c r="J93" s="124">
        <v>-25</v>
      </c>
      <c r="K93" s="124">
        <v>10.23</v>
      </c>
      <c r="L93" s="126">
        <f>PI()*(AVERAGE(core_data!$N$21/1000,core_data!$R$21/1000)/2)^2</f>
        <v>1.0922284094365296E-3</v>
      </c>
      <c r="M93" s="212">
        <f>SUM(mass!$B$18:$N$18)+SUM(mass!$B$23:$E$23,mass!$G$23,mass!$I$23,mass!$K$23:$M$23)+mass!$O$29+mass!$B$29</f>
        <v>66.547200000000004</v>
      </c>
      <c r="N93" s="124"/>
      <c r="O93" s="125"/>
      <c r="P93" s="190"/>
      <c r="Q93" s="130"/>
      <c r="R93" s="324"/>
      <c r="S93" s="124" t="s">
        <v>81</v>
      </c>
      <c r="T93" s="124" t="s">
        <v>77</v>
      </c>
      <c r="U93" s="235">
        <v>0.78819444444444453</v>
      </c>
      <c r="V93" s="222" t="str">
        <f t="shared" ref="V93:V98" si="61">IF(R93="","B","G")</f>
        <v>B</v>
      </c>
      <c r="W93" s="262" t="s">
        <v>145</v>
      </c>
      <c r="X93" s="263"/>
      <c r="Y93" s="263"/>
      <c r="Z93" s="263"/>
      <c r="AA93" s="263"/>
      <c r="AB93" s="263"/>
      <c r="AC93" s="263"/>
      <c r="AD93" s="263"/>
    </row>
    <row r="94" spans="1:30" ht="14.1" customHeight="1" x14ac:dyDescent="0.2">
      <c r="A94" s="122">
        <v>94</v>
      </c>
      <c r="B94" s="122" t="s">
        <v>91</v>
      </c>
      <c r="C94" s="122" t="s">
        <v>92</v>
      </c>
      <c r="D94" s="328">
        <f>IF(B94="A0"&amp;core_data!$B$22,core_data!$F$22,"X")</f>
        <v>94.673333333333332</v>
      </c>
      <c r="E94" s="328">
        <f>IF(C94="B0"&amp;core_data!$B$22,core_data!$J$22,"X")</f>
        <v>95.55</v>
      </c>
      <c r="F94" s="328">
        <f>IF(B94="A0"&amp;core_data!$B$22,core_data!$N$22,"X")</f>
        <v>37.373333333333335</v>
      </c>
      <c r="G94" s="328">
        <f>IF(C94="B0"&amp;core_data!$B$22,core_data!$R$22,"X")</f>
        <v>37.333333333333336</v>
      </c>
      <c r="H94" s="123">
        <v>43785</v>
      </c>
      <c r="I94" s="123">
        <v>43787</v>
      </c>
      <c r="J94" s="124">
        <v>-25</v>
      </c>
      <c r="K94" s="124">
        <v>10.15</v>
      </c>
      <c r="L94" s="126">
        <f>PI()*(AVERAGE(core_data!$N$22/1000,core_data!$R$22/1000)/2)^2</f>
        <v>1.0958436822674491E-3</v>
      </c>
      <c r="M94" s="212">
        <f>SUM(mass!$B$18:$N$18)+SUM(mass!$B$23:$E$23,mass!$G$23,mass!$I$23,mass!$K$23:$M$23)+mass!$O$29</f>
        <v>63.892200000000003</v>
      </c>
      <c r="N94" s="124"/>
      <c r="O94" s="125"/>
      <c r="P94" s="190"/>
      <c r="Q94" s="130"/>
      <c r="R94" s="324"/>
      <c r="S94" s="124" t="s">
        <v>81</v>
      </c>
      <c r="T94" s="124" t="s">
        <v>77</v>
      </c>
      <c r="U94" s="235">
        <v>0.7944444444444444</v>
      </c>
      <c r="V94" s="222" t="str">
        <f t="shared" si="61"/>
        <v>B</v>
      </c>
      <c r="W94" s="262" t="s">
        <v>213</v>
      </c>
      <c r="X94" s="263"/>
      <c r="Y94" s="263"/>
      <c r="Z94" s="263"/>
      <c r="AA94" s="263"/>
      <c r="AB94" s="263"/>
      <c r="AC94" s="263"/>
      <c r="AD94" s="263"/>
    </row>
    <row r="95" spans="1:30" ht="14.1" customHeight="1" x14ac:dyDescent="0.2">
      <c r="A95" s="122">
        <v>95</v>
      </c>
      <c r="B95" s="122" t="s">
        <v>94</v>
      </c>
      <c r="C95" s="122" t="s">
        <v>95</v>
      </c>
      <c r="D95" s="328">
        <f>IF(B95="A0"&amp;core_data!$B$23,core_data!$F$23,"X")</f>
        <v>94.280000000000015</v>
      </c>
      <c r="E95" s="328">
        <f>IF(C95="B0"&amp;core_data!$B$23,core_data!$J$23,"X")</f>
        <v>94.649999999999991</v>
      </c>
      <c r="F95" s="328">
        <f>IF(B95="A0"&amp;core_data!$B$23,core_data!$N$23,"X")</f>
        <v>37.330000000000005</v>
      </c>
      <c r="G95" s="328">
        <f>IF(C95="B0"&amp;core_data!$B$23,core_data!$R$23,"X")</f>
        <v>37.36333333333333</v>
      </c>
      <c r="H95" s="123">
        <v>43785</v>
      </c>
      <c r="I95" s="123">
        <v>43787</v>
      </c>
      <c r="J95" s="124">
        <v>-24.6</v>
      </c>
      <c r="K95" s="124">
        <v>10.18</v>
      </c>
      <c r="L95" s="126">
        <f>PI()*(AVERAGE(core_data!$N$23/1000,core_data!$R$23/1000)/2)^2</f>
        <v>1.095452553982077E-3</v>
      </c>
      <c r="M95" s="212">
        <f>SUM(mass!$B$18:$N$18)+SUM(mass!$B$23:$D$23,mass!$K$23:$M$23)+mass!$O$29</f>
        <v>59.268999999999998</v>
      </c>
      <c r="N95" s="124">
        <f>SUM(mass!B35:F35,mass!B29:C29,mass!H29,mass!I29,mass!J29:K29,mass!N29)+0.9119+0.9496+0.9554+0.9443+1.003+0.9903+0.5082</f>
        <v>22.321899999999999</v>
      </c>
      <c r="O95" s="125">
        <f t="shared" ref="O95:O97" si="62">M95+N95</f>
        <v>81.590900000000005</v>
      </c>
      <c r="P95" s="190">
        <f t="shared" ref="P95:P97" si="63">N95/O95</f>
        <v>0.27358320597027364</v>
      </c>
      <c r="Q95" s="130">
        <f t="shared" ref="Q95:Q97" si="64">O95*9.80665</f>
        <v>800.13339948500004</v>
      </c>
      <c r="R95" s="324">
        <f t="shared" ref="R95:R97" si="65">Q95/L95/1000000</f>
        <v>0.73041355974426914</v>
      </c>
      <c r="S95" s="124" t="s">
        <v>81</v>
      </c>
      <c r="T95" s="124" t="s">
        <v>77</v>
      </c>
      <c r="U95" s="235">
        <v>0.81041666666666667</v>
      </c>
      <c r="V95" s="222" t="str">
        <f t="shared" si="61"/>
        <v>G</v>
      </c>
      <c r="W95" s="262" t="s">
        <v>233</v>
      </c>
      <c r="X95" s="263"/>
      <c r="Y95" s="263"/>
      <c r="Z95" s="263"/>
      <c r="AA95" s="263"/>
      <c r="AB95" s="263"/>
      <c r="AC95" s="263"/>
      <c r="AD95" s="263"/>
    </row>
    <row r="96" spans="1:30" ht="14.1" customHeight="1" x14ac:dyDescent="0.2">
      <c r="A96" s="122">
        <v>96</v>
      </c>
      <c r="B96" s="122" t="s">
        <v>112</v>
      </c>
      <c r="C96" s="122" t="s">
        <v>113</v>
      </c>
      <c r="D96" s="328">
        <f>IF(B96="A"&amp;core_data!$B$32,core_data!$F$32,"X")</f>
        <v>96.176666666666662</v>
      </c>
      <c r="E96" s="328">
        <f>IF(C96="B"&amp;core_data!$B$32,core_data!$J$32,"X")</f>
        <v>94.953333333333333</v>
      </c>
      <c r="F96" s="328">
        <f>IF(B96="A"&amp;core_data!$B$32,core_data!$N$32,"X")</f>
        <v>37.393333333333338</v>
      </c>
      <c r="G96" s="328">
        <f>IF(C96="B"&amp;core_data!$B$32,core_data!$R$32,"X")</f>
        <v>37.330000000000005</v>
      </c>
      <c r="H96" s="123">
        <v>43785</v>
      </c>
      <c r="I96" s="123">
        <v>43787</v>
      </c>
      <c r="J96" s="124">
        <v>-25</v>
      </c>
      <c r="K96" s="124">
        <v>9.94</v>
      </c>
      <c r="L96" s="126">
        <f>PI()*(AVERAGE(core_data!$N$32/1000,core_data!$R$32/1000)/2)^2</f>
        <v>1.0963326907989345E-3</v>
      </c>
      <c r="M96" s="212">
        <f>SUM(mass!$B$18:$N$18,mass!$O$29,mass!$B$23:$E$23,mass!$K$23:$L$23,mass!$B$29)</f>
        <v>64.047999999999988</v>
      </c>
      <c r="N96" s="124"/>
      <c r="O96" s="125"/>
      <c r="P96" s="190"/>
      <c r="Q96" s="130"/>
      <c r="R96" s="324"/>
      <c r="S96" s="124" t="s">
        <v>81</v>
      </c>
      <c r="T96" s="124" t="s">
        <v>77</v>
      </c>
      <c r="U96" s="235">
        <v>0.84930555555555554</v>
      </c>
      <c r="V96" s="222" t="str">
        <f t="shared" si="61"/>
        <v>B</v>
      </c>
      <c r="W96" s="262" t="s">
        <v>241</v>
      </c>
      <c r="X96" s="263"/>
      <c r="Y96" s="263"/>
      <c r="Z96" s="263"/>
      <c r="AA96" s="263"/>
      <c r="AB96" s="263"/>
      <c r="AC96" s="263"/>
      <c r="AD96" s="263"/>
    </row>
    <row r="97" spans="1:30" ht="14.1" customHeight="1" x14ac:dyDescent="0.2">
      <c r="A97" s="122">
        <v>97</v>
      </c>
      <c r="B97" s="122" t="s">
        <v>79</v>
      </c>
      <c r="C97" s="122" t="s">
        <v>80</v>
      </c>
      <c r="D97" s="328">
        <f>IF(B97="A"&amp;core_data!$B$34,core_data!$F$34,"X")</f>
        <v>98.8</v>
      </c>
      <c r="E97" s="328">
        <f>IF(C97="B"&amp;core_data!$B$34,core_data!$J$34,"X")</f>
        <v>98.813333333333333</v>
      </c>
      <c r="F97" s="328">
        <f>IF(B97="A"&amp;core_data!$B$34,core_data!$N$34,"X")</f>
        <v>37.373333333333335</v>
      </c>
      <c r="G97" s="328">
        <f>IF(C97="B"&amp;core_data!$B$34,core_data!$R$34,"X")</f>
        <v>37.416666666666664</v>
      </c>
      <c r="H97" s="123">
        <v>43785</v>
      </c>
      <c r="I97" s="123">
        <v>43787</v>
      </c>
      <c r="J97" s="124">
        <v>-25</v>
      </c>
      <c r="K97" s="125">
        <v>10.16</v>
      </c>
      <c r="L97" s="126">
        <f>PI()*(AVERAGE(core_data!$N$34/1000,core_data!$R$34/1000)/2)^2</f>
        <v>1.098289815755658E-3</v>
      </c>
      <c r="M97" s="212">
        <f>SUM(mass!$B$18:$N$18,mass!$O$29,mass!$B$23,mass!$D$23,mass!$K$23:$L$23,mass!$B$29)</f>
        <v>59.072999999999993</v>
      </c>
      <c r="N97" s="124">
        <f>SUM(mass!C23,mass!E23,mass!F23:J23)+SUM(mass!B35,mass!E35,mass!G35,mass!H35,mass!H29,mass!N29,mass!F35)+2.1556+1.0856+0.989+0.9219+0.9203+0.9581+1.004+0.9819+0.46</f>
        <v>26.027100000000004</v>
      </c>
      <c r="O97" s="125">
        <f t="shared" si="62"/>
        <v>85.100099999999998</v>
      </c>
      <c r="P97" s="190">
        <f t="shared" si="63"/>
        <v>0.3058410037120991</v>
      </c>
      <c r="Q97" s="130">
        <f t="shared" si="64"/>
        <v>834.54689566499997</v>
      </c>
      <c r="R97" s="324">
        <f t="shared" si="65"/>
        <v>0.75986036080176655</v>
      </c>
      <c r="S97" s="124" t="s">
        <v>81</v>
      </c>
      <c r="T97" s="124" t="s">
        <v>77</v>
      </c>
      <c r="U97" s="235">
        <v>0.86111111111111116</v>
      </c>
      <c r="V97" s="222" t="str">
        <f t="shared" si="61"/>
        <v>G</v>
      </c>
      <c r="W97" s="262" t="s">
        <v>145</v>
      </c>
      <c r="X97" s="263"/>
      <c r="Y97" s="263"/>
      <c r="Z97" s="263"/>
      <c r="AA97" s="263"/>
      <c r="AB97" s="263"/>
      <c r="AC97" s="263"/>
      <c r="AD97" s="263"/>
    </row>
    <row r="98" spans="1:30" ht="14.1" customHeight="1" x14ac:dyDescent="0.2">
      <c r="A98" s="122">
        <v>98</v>
      </c>
      <c r="B98" s="122" t="s">
        <v>116</v>
      </c>
      <c r="C98" s="122" t="s">
        <v>117</v>
      </c>
      <c r="D98" s="328">
        <f>IF(B98="A"&amp;core_data!$B$33,core_data!$F$33,"X")</f>
        <v>96.52</v>
      </c>
      <c r="E98" s="328">
        <f>IF(C98="B"&amp;core_data!$B$33,core_data!$J$33,"X")</f>
        <v>97.326666666666668</v>
      </c>
      <c r="F98" s="328">
        <f>IF(B98="A"&amp;core_data!$B$33,core_data!$N$33,"X")</f>
        <v>37.22</v>
      </c>
      <c r="G98" s="328">
        <f>IF(C98="B"&amp;core_data!$B$33,core_data!$R$33,"X")</f>
        <v>37.270000000000003</v>
      </c>
      <c r="H98" s="123">
        <v>43785</v>
      </c>
      <c r="I98" s="123">
        <v>43787</v>
      </c>
      <c r="J98" s="124">
        <v>-25</v>
      </c>
      <c r="K98" s="124">
        <v>10.38</v>
      </c>
      <c r="L98" s="126">
        <f>PI()*(AVERAGE(core_data!$N$33/1000,core_data!$R$33/1000)/2)^2</f>
        <v>1.0894964979182604E-3</v>
      </c>
      <c r="M98" s="212">
        <f>SUM(mass!$B$18:$N$18,mass!$O$29,mass!$B$23,mass!$D$23,mass!$K$23:$L$23,mass!$B$29)</f>
        <v>59.072999999999993</v>
      </c>
      <c r="N98" s="124">
        <f>SUM(mass!C23,mass!E23:J23,mass!H29)+1.0088+0.9951+0.5154</f>
        <v>13.406400000000001</v>
      </c>
      <c r="O98" s="125">
        <f>M98+N98</f>
        <v>72.479399999999998</v>
      </c>
      <c r="P98" s="190">
        <f>N98/O98</f>
        <v>0.18496841861273688</v>
      </c>
      <c r="Q98" s="130">
        <f>O98*9.80665</f>
        <v>710.78010800999994</v>
      </c>
      <c r="R98" s="324">
        <f>Q98/L98/1000000</f>
        <v>0.65239320123388445</v>
      </c>
      <c r="S98" s="124" t="s">
        <v>81</v>
      </c>
      <c r="T98" s="124" t="s">
        <v>77</v>
      </c>
      <c r="U98" s="235">
        <v>0.8847222222222223</v>
      </c>
      <c r="V98" s="222" t="str">
        <f t="shared" si="61"/>
        <v>G</v>
      </c>
      <c r="W98" s="262" t="s">
        <v>213</v>
      </c>
      <c r="X98" s="263"/>
      <c r="Y98" s="263"/>
      <c r="Z98" s="263"/>
      <c r="AA98" s="263"/>
      <c r="AB98" s="263"/>
      <c r="AC98" s="263"/>
      <c r="AD98" s="263"/>
    </row>
    <row r="99" spans="1:30" x14ac:dyDescent="0.25">
      <c r="A99" s="9"/>
      <c r="B99" s="9"/>
      <c r="C99" s="9"/>
      <c r="D99" s="9"/>
      <c r="E99" s="9"/>
      <c r="F99" s="9"/>
      <c r="G99" s="9"/>
      <c r="L99" s="12"/>
      <c r="O99" s="13"/>
      <c r="Q99" s="14">
        <f t="shared" ref="Q99:Q123" si="66">O99*9.80665</f>
        <v>0</v>
      </c>
      <c r="R99" s="326"/>
    </row>
    <row r="100" spans="1:30" x14ac:dyDescent="0.25">
      <c r="A100" s="9"/>
      <c r="B100" s="9"/>
      <c r="C100" s="9"/>
      <c r="D100" s="9"/>
      <c r="E100" s="9"/>
      <c r="F100" s="9"/>
      <c r="G100" s="9"/>
      <c r="L100" s="12"/>
      <c r="O100" s="13"/>
      <c r="Q100" s="14">
        <f t="shared" si="66"/>
        <v>0</v>
      </c>
      <c r="R100" s="326"/>
    </row>
    <row r="101" spans="1:30" x14ac:dyDescent="0.25">
      <c r="A101" s="9"/>
      <c r="B101" s="9"/>
      <c r="C101" s="9"/>
      <c r="D101" s="9"/>
      <c r="E101" s="9"/>
      <c r="F101" s="9"/>
      <c r="G101" s="9"/>
      <c r="L101" s="12"/>
      <c r="O101" s="13"/>
      <c r="Q101" s="14">
        <f t="shared" si="66"/>
        <v>0</v>
      </c>
      <c r="R101" s="326"/>
    </row>
    <row r="102" spans="1:30" x14ac:dyDescent="0.25">
      <c r="A102" s="9"/>
      <c r="B102" s="9"/>
      <c r="C102" s="9"/>
      <c r="D102" s="9"/>
      <c r="E102" s="9"/>
      <c r="F102" s="9"/>
      <c r="G102" s="9"/>
      <c r="L102" s="12"/>
      <c r="O102" s="13"/>
      <c r="Q102" s="14">
        <f t="shared" si="66"/>
        <v>0</v>
      </c>
      <c r="R102" s="326"/>
    </row>
    <row r="103" spans="1:30" x14ac:dyDescent="0.25">
      <c r="A103" s="9"/>
      <c r="B103" s="9"/>
      <c r="C103" s="9"/>
      <c r="D103" s="9"/>
      <c r="E103" s="9"/>
      <c r="F103" s="9"/>
      <c r="G103" s="9"/>
      <c r="L103" s="12"/>
      <c r="O103" s="13"/>
      <c r="Q103" s="14">
        <f t="shared" si="66"/>
        <v>0</v>
      </c>
      <c r="R103" s="326"/>
    </row>
    <row r="104" spans="1:30" x14ac:dyDescent="0.25">
      <c r="A104" s="9"/>
      <c r="B104" s="9"/>
      <c r="C104" s="9"/>
      <c r="D104" s="9"/>
      <c r="E104" s="9"/>
      <c r="F104" s="9"/>
      <c r="G104" s="9"/>
      <c r="L104" s="12"/>
      <c r="O104" s="13"/>
      <c r="Q104" s="14">
        <f t="shared" si="66"/>
        <v>0</v>
      </c>
      <c r="R104" s="326"/>
    </row>
    <row r="105" spans="1:30" x14ac:dyDescent="0.25">
      <c r="A105" s="9"/>
      <c r="B105" s="9"/>
      <c r="C105" s="9"/>
      <c r="D105" s="9"/>
      <c r="E105" s="9"/>
      <c r="F105" s="9"/>
      <c r="G105" s="9"/>
      <c r="L105" s="12"/>
      <c r="O105" s="13"/>
      <c r="Q105" s="14">
        <f t="shared" si="66"/>
        <v>0</v>
      </c>
      <c r="R105" s="326"/>
    </row>
    <row r="106" spans="1:30" x14ac:dyDescent="0.25">
      <c r="A106" s="9"/>
      <c r="B106" s="9"/>
      <c r="C106" s="9"/>
      <c r="D106" s="9"/>
      <c r="E106" s="9"/>
      <c r="F106" s="9"/>
      <c r="G106" s="9"/>
      <c r="L106" s="12"/>
      <c r="O106" s="13"/>
      <c r="Q106" s="14">
        <f t="shared" si="66"/>
        <v>0</v>
      </c>
      <c r="R106" s="326"/>
    </row>
    <row r="107" spans="1:30" x14ac:dyDescent="0.25">
      <c r="A107" s="9"/>
      <c r="B107" s="9"/>
      <c r="C107" s="9"/>
      <c r="D107" s="9"/>
      <c r="E107" s="9"/>
      <c r="F107" s="9"/>
      <c r="G107" s="9"/>
      <c r="L107" s="12"/>
      <c r="O107" s="13"/>
      <c r="Q107" s="14">
        <f t="shared" si="66"/>
        <v>0</v>
      </c>
      <c r="R107" s="326"/>
    </row>
    <row r="108" spans="1:30" x14ac:dyDescent="0.25">
      <c r="A108" s="9"/>
      <c r="B108" s="9"/>
      <c r="C108" s="9"/>
      <c r="D108" s="9"/>
      <c r="E108" s="9"/>
      <c r="F108" s="9"/>
      <c r="G108" s="9"/>
      <c r="L108" s="12"/>
      <c r="O108" s="13"/>
      <c r="Q108" s="14">
        <f t="shared" si="66"/>
        <v>0</v>
      </c>
      <c r="R108" s="326"/>
    </row>
    <row r="109" spans="1:30" x14ac:dyDescent="0.25">
      <c r="A109" s="9"/>
      <c r="B109" s="9"/>
      <c r="C109" s="9"/>
      <c r="D109" s="9"/>
      <c r="E109" s="9"/>
      <c r="F109" s="9"/>
      <c r="G109" s="9"/>
      <c r="L109" s="12"/>
      <c r="O109" s="13"/>
      <c r="Q109" s="14">
        <f t="shared" si="66"/>
        <v>0</v>
      </c>
      <c r="R109" s="326"/>
    </row>
    <row r="110" spans="1:30" x14ac:dyDescent="0.25">
      <c r="A110" s="9"/>
      <c r="B110" s="9"/>
      <c r="C110" s="9"/>
      <c r="D110" s="9"/>
      <c r="E110" s="9"/>
      <c r="F110" s="9"/>
      <c r="G110" s="9"/>
      <c r="L110" s="12"/>
      <c r="O110" s="13"/>
      <c r="Q110" s="14">
        <f t="shared" si="66"/>
        <v>0</v>
      </c>
      <c r="R110" s="326"/>
    </row>
    <row r="111" spans="1:30" x14ac:dyDescent="0.25">
      <c r="A111" s="9"/>
      <c r="B111" s="9"/>
      <c r="C111" s="9"/>
      <c r="D111" s="9"/>
      <c r="E111" s="9"/>
      <c r="F111" s="9"/>
      <c r="G111" s="9"/>
      <c r="L111" s="12"/>
      <c r="O111" s="13"/>
      <c r="Q111" s="14">
        <f t="shared" si="66"/>
        <v>0</v>
      </c>
      <c r="R111" s="326"/>
    </row>
    <row r="112" spans="1:30" x14ac:dyDescent="0.25">
      <c r="A112" s="9"/>
      <c r="B112" s="9"/>
      <c r="C112" s="9"/>
      <c r="D112" s="9"/>
      <c r="E112" s="9"/>
      <c r="F112" s="9"/>
      <c r="G112" s="9"/>
      <c r="L112" s="12"/>
      <c r="O112" s="13"/>
      <c r="Q112" s="14">
        <f t="shared" si="66"/>
        <v>0</v>
      </c>
      <c r="R112" s="326"/>
    </row>
    <row r="113" spans="1:18" x14ac:dyDescent="0.25">
      <c r="A113" s="9"/>
      <c r="B113" s="9"/>
      <c r="C113" s="9"/>
      <c r="D113" s="9"/>
      <c r="E113" s="9"/>
      <c r="F113" s="9"/>
      <c r="G113" s="9"/>
      <c r="L113" s="12"/>
      <c r="O113" s="13"/>
      <c r="Q113" s="14">
        <f t="shared" si="66"/>
        <v>0</v>
      </c>
      <c r="R113" s="326"/>
    </row>
    <row r="114" spans="1:18" x14ac:dyDescent="0.25">
      <c r="A114" s="9"/>
      <c r="B114" s="9"/>
      <c r="C114" s="9"/>
      <c r="D114" s="9"/>
      <c r="E114" s="9"/>
      <c r="F114" s="9"/>
      <c r="G114" s="9"/>
      <c r="L114" s="12"/>
      <c r="O114" s="13"/>
      <c r="Q114" s="14">
        <f t="shared" si="66"/>
        <v>0</v>
      </c>
      <c r="R114" s="326"/>
    </row>
    <row r="115" spans="1:18" x14ac:dyDescent="0.25">
      <c r="A115" s="9"/>
      <c r="B115" s="9"/>
      <c r="C115" s="9"/>
      <c r="D115" s="9"/>
      <c r="E115" s="9"/>
      <c r="F115" s="9"/>
      <c r="G115" s="9"/>
      <c r="L115" s="12"/>
      <c r="O115" s="13"/>
      <c r="Q115" s="14">
        <f t="shared" si="66"/>
        <v>0</v>
      </c>
      <c r="R115" s="326"/>
    </row>
    <row r="116" spans="1:18" x14ac:dyDescent="0.25">
      <c r="A116" s="9"/>
      <c r="B116" s="9"/>
      <c r="C116" s="9"/>
      <c r="D116" s="9"/>
      <c r="E116" s="9"/>
      <c r="F116" s="9"/>
      <c r="G116" s="9"/>
      <c r="L116" s="12"/>
      <c r="O116" s="13"/>
      <c r="Q116" s="14">
        <f t="shared" si="66"/>
        <v>0</v>
      </c>
      <c r="R116" s="326"/>
    </row>
    <row r="117" spans="1:18" x14ac:dyDescent="0.25">
      <c r="A117" s="9"/>
      <c r="B117" s="9"/>
      <c r="C117" s="9"/>
      <c r="D117" s="9"/>
      <c r="E117" s="9"/>
      <c r="F117" s="9"/>
      <c r="G117" s="9"/>
      <c r="L117" s="12"/>
      <c r="O117" s="13"/>
      <c r="Q117" s="14">
        <f t="shared" si="66"/>
        <v>0</v>
      </c>
      <c r="R117" s="326"/>
    </row>
    <row r="118" spans="1:18" x14ac:dyDescent="0.25">
      <c r="A118" s="9"/>
      <c r="B118" s="9"/>
      <c r="C118" s="9"/>
      <c r="D118" s="9"/>
      <c r="E118" s="9"/>
      <c r="F118" s="9"/>
      <c r="G118" s="9"/>
      <c r="L118" s="12"/>
      <c r="O118" s="13"/>
      <c r="Q118" s="14">
        <f t="shared" si="66"/>
        <v>0</v>
      </c>
      <c r="R118" s="326"/>
    </row>
    <row r="119" spans="1:18" x14ac:dyDescent="0.25">
      <c r="A119" s="9"/>
      <c r="B119" s="9"/>
      <c r="C119" s="9"/>
      <c r="D119" s="9"/>
      <c r="E119" s="9"/>
      <c r="F119" s="9"/>
      <c r="G119" s="9"/>
      <c r="L119" s="12"/>
      <c r="O119" s="13"/>
      <c r="Q119" s="14">
        <f t="shared" si="66"/>
        <v>0</v>
      </c>
      <c r="R119" s="326"/>
    </row>
    <row r="120" spans="1:18" x14ac:dyDescent="0.25">
      <c r="A120" s="9"/>
      <c r="B120" s="9"/>
      <c r="C120" s="9"/>
      <c r="D120" s="9"/>
      <c r="E120" s="9"/>
      <c r="F120" s="9"/>
      <c r="G120" s="9"/>
      <c r="L120" s="12"/>
      <c r="O120" s="13"/>
      <c r="Q120" s="14">
        <f t="shared" si="66"/>
        <v>0</v>
      </c>
      <c r="R120" s="326"/>
    </row>
    <row r="121" spans="1:18" x14ac:dyDescent="0.25">
      <c r="A121" s="9"/>
      <c r="B121" s="9"/>
      <c r="C121" s="9"/>
      <c r="D121" s="9"/>
      <c r="E121" s="9"/>
      <c r="F121" s="9"/>
      <c r="G121" s="9"/>
      <c r="L121" s="12"/>
      <c r="O121" s="13"/>
      <c r="Q121" s="14">
        <f t="shared" si="66"/>
        <v>0</v>
      </c>
      <c r="R121" s="326"/>
    </row>
    <row r="122" spans="1:18" x14ac:dyDescent="0.25">
      <c r="A122" s="9"/>
      <c r="B122" s="9"/>
      <c r="C122" s="9"/>
      <c r="D122" s="9"/>
      <c r="E122" s="9"/>
      <c r="F122" s="9"/>
      <c r="G122" s="9"/>
      <c r="L122" s="12"/>
      <c r="O122" s="13"/>
      <c r="Q122" s="14">
        <f t="shared" si="66"/>
        <v>0</v>
      </c>
      <c r="R122" s="326"/>
    </row>
    <row r="123" spans="1:18" x14ac:dyDescent="0.25">
      <c r="A123" s="9"/>
      <c r="B123" s="9"/>
      <c r="C123" s="9"/>
      <c r="D123" s="9"/>
      <c r="E123" s="9"/>
      <c r="F123" s="9"/>
      <c r="G123" s="9"/>
      <c r="L123" s="12"/>
      <c r="O123" s="13"/>
      <c r="Q123" s="14">
        <f t="shared" si="66"/>
        <v>0</v>
      </c>
      <c r="R123" s="326"/>
    </row>
    <row r="124" spans="1:18" x14ac:dyDescent="0.25">
      <c r="A124" s="9"/>
      <c r="B124" s="9"/>
      <c r="C124" s="9"/>
      <c r="D124" s="9"/>
      <c r="E124" s="9"/>
      <c r="F124" s="9"/>
      <c r="G124" s="9"/>
      <c r="L124" s="12"/>
      <c r="O124" s="13"/>
      <c r="Q124" s="14">
        <f t="shared" ref="Q124:Q169" si="67">O124*9.80665</f>
        <v>0</v>
      </c>
      <c r="R124" s="326"/>
    </row>
    <row r="125" spans="1:18" x14ac:dyDescent="0.25">
      <c r="A125" s="9"/>
      <c r="B125" s="9"/>
      <c r="C125" s="9"/>
      <c r="D125" s="9"/>
      <c r="E125" s="9"/>
      <c r="F125" s="9"/>
      <c r="G125" s="9"/>
      <c r="L125" s="12"/>
      <c r="O125" s="13"/>
      <c r="Q125" s="14">
        <f t="shared" si="67"/>
        <v>0</v>
      </c>
      <c r="R125" s="326"/>
    </row>
    <row r="126" spans="1:18" x14ac:dyDescent="0.25">
      <c r="A126" s="9"/>
      <c r="B126" s="9"/>
      <c r="C126" s="9"/>
      <c r="D126" s="9"/>
      <c r="E126" s="9"/>
      <c r="F126" s="9"/>
      <c r="G126" s="9"/>
      <c r="L126" s="12"/>
      <c r="O126" s="13"/>
      <c r="Q126" s="14">
        <f t="shared" si="67"/>
        <v>0</v>
      </c>
      <c r="R126" s="326"/>
    </row>
    <row r="127" spans="1:18" x14ac:dyDescent="0.25">
      <c r="A127" s="9"/>
      <c r="B127" s="9"/>
      <c r="C127" s="9"/>
      <c r="D127" s="9"/>
      <c r="E127" s="9"/>
      <c r="F127" s="9"/>
      <c r="G127" s="9"/>
      <c r="L127" s="12"/>
      <c r="O127" s="13"/>
      <c r="Q127" s="14">
        <f t="shared" si="67"/>
        <v>0</v>
      </c>
      <c r="R127" s="326"/>
    </row>
    <row r="128" spans="1:18" x14ac:dyDescent="0.25">
      <c r="A128" s="9"/>
      <c r="B128" s="9"/>
      <c r="C128" s="9"/>
      <c r="D128" s="9"/>
      <c r="E128" s="9"/>
      <c r="F128" s="9"/>
      <c r="G128" s="9"/>
      <c r="L128" s="12"/>
      <c r="O128" s="13"/>
      <c r="Q128" s="14">
        <f t="shared" si="67"/>
        <v>0</v>
      </c>
      <c r="R128" s="326"/>
    </row>
    <row r="129" spans="1:18" x14ac:dyDescent="0.25">
      <c r="A129" s="9"/>
      <c r="B129" s="9"/>
      <c r="C129" s="9"/>
      <c r="D129" s="9"/>
      <c r="E129" s="9"/>
      <c r="F129" s="9"/>
      <c r="G129" s="9"/>
      <c r="L129" s="12"/>
      <c r="O129" s="13"/>
      <c r="Q129" s="14">
        <f t="shared" si="67"/>
        <v>0</v>
      </c>
      <c r="R129" s="326"/>
    </row>
    <row r="130" spans="1:18" x14ac:dyDescent="0.25">
      <c r="A130" s="9"/>
      <c r="B130" s="9"/>
      <c r="C130" s="9"/>
      <c r="D130" s="9"/>
      <c r="E130" s="9"/>
      <c r="F130" s="9"/>
      <c r="G130" s="9"/>
      <c r="L130" s="12"/>
      <c r="O130" s="13"/>
      <c r="Q130" s="14">
        <f t="shared" si="67"/>
        <v>0</v>
      </c>
      <c r="R130" s="326"/>
    </row>
    <row r="131" spans="1:18" x14ac:dyDescent="0.25">
      <c r="A131" s="9"/>
      <c r="B131" s="9"/>
      <c r="C131" s="9"/>
      <c r="D131" s="9"/>
      <c r="E131" s="9"/>
      <c r="F131" s="9"/>
      <c r="G131" s="9"/>
      <c r="L131" s="12"/>
      <c r="O131" s="13"/>
      <c r="Q131" s="14">
        <f t="shared" si="67"/>
        <v>0</v>
      </c>
      <c r="R131" s="326"/>
    </row>
    <row r="132" spans="1:18" x14ac:dyDescent="0.25">
      <c r="A132" s="9"/>
      <c r="B132" s="9"/>
      <c r="C132" s="9"/>
      <c r="D132" s="9"/>
      <c r="E132" s="9"/>
      <c r="F132" s="9"/>
      <c r="G132" s="9"/>
      <c r="L132" s="12"/>
      <c r="O132" s="13"/>
      <c r="Q132" s="14">
        <f t="shared" si="67"/>
        <v>0</v>
      </c>
      <c r="R132" s="326"/>
    </row>
    <row r="133" spans="1:18" x14ac:dyDescent="0.25">
      <c r="A133" s="9"/>
      <c r="B133" s="9"/>
      <c r="C133" s="9"/>
      <c r="D133" s="9"/>
      <c r="E133" s="9"/>
      <c r="F133" s="9"/>
      <c r="G133" s="9"/>
      <c r="L133" s="12"/>
      <c r="O133" s="13"/>
      <c r="Q133" s="14">
        <f t="shared" si="67"/>
        <v>0</v>
      </c>
      <c r="R133" s="326"/>
    </row>
    <row r="134" spans="1:18" x14ac:dyDescent="0.25">
      <c r="A134" s="9"/>
      <c r="B134" s="9"/>
      <c r="C134" s="9"/>
      <c r="D134" s="9"/>
      <c r="E134" s="9"/>
      <c r="F134" s="9"/>
      <c r="G134" s="9"/>
      <c r="L134" s="12"/>
      <c r="O134" s="13"/>
      <c r="Q134" s="14">
        <f t="shared" si="67"/>
        <v>0</v>
      </c>
      <c r="R134" s="326"/>
    </row>
    <row r="135" spans="1:18" x14ac:dyDescent="0.25">
      <c r="A135" s="9"/>
      <c r="B135" s="9"/>
      <c r="C135" s="9"/>
      <c r="D135" s="9"/>
      <c r="E135" s="9"/>
      <c r="F135" s="9"/>
      <c r="G135" s="9"/>
      <c r="L135" s="12"/>
      <c r="O135" s="13"/>
      <c r="Q135" s="14">
        <f t="shared" si="67"/>
        <v>0</v>
      </c>
      <c r="R135" s="326"/>
    </row>
    <row r="136" spans="1:18" x14ac:dyDescent="0.25">
      <c r="A136" s="9"/>
      <c r="B136" s="9"/>
      <c r="C136" s="9"/>
      <c r="D136" s="9"/>
      <c r="E136" s="9"/>
      <c r="F136" s="9"/>
      <c r="G136" s="9"/>
      <c r="L136" s="12"/>
      <c r="O136" s="13"/>
      <c r="Q136" s="14">
        <f t="shared" si="67"/>
        <v>0</v>
      </c>
      <c r="R136" s="326"/>
    </row>
    <row r="137" spans="1:18" x14ac:dyDescent="0.25">
      <c r="A137" s="9"/>
      <c r="B137" s="9"/>
      <c r="C137" s="9"/>
      <c r="D137" s="9"/>
      <c r="E137" s="9"/>
      <c r="F137" s="9"/>
      <c r="G137" s="9"/>
      <c r="L137" s="12"/>
      <c r="O137" s="13"/>
      <c r="Q137" s="14">
        <f t="shared" si="67"/>
        <v>0</v>
      </c>
      <c r="R137" s="326"/>
    </row>
    <row r="138" spans="1:18" x14ac:dyDescent="0.25">
      <c r="A138" s="9"/>
      <c r="B138" s="9"/>
      <c r="C138" s="9"/>
      <c r="D138" s="9"/>
      <c r="E138" s="9"/>
      <c r="F138" s="9"/>
      <c r="G138" s="9"/>
      <c r="L138" s="12"/>
      <c r="O138" s="13"/>
      <c r="Q138" s="14">
        <f t="shared" si="67"/>
        <v>0</v>
      </c>
      <c r="R138" s="326"/>
    </row>
    <row r="139" spans="1:18" x14ac:dyDescent="0.25">
      <c r="A139" s="9"/>
      <c r="B139" s="9"/>
      <c r="C139" s="9"/>
      <c r="D139" s="9"/>
      <c r="E139" s="9"/>
      <c r="F139" s="9"/>
      <c r="G139" s="9"/>
      <c r="L139" s="12"/>
      <c r="O139" s="13"/>
      <c r="Q139" s="14">
        <f t="shared" si="67"/>
        <v>0</v>
      </c>
      <c r="R139" s="326"/>
    </row>
    <row r="140" spans="1:18" x14ac:dyDescent="0.25">
      <c r="A140" s="9"/>
      <c r="B140" s="9"/>
      <c r="C140" s="9"/>
      <c r="D140" s="9"/>
      <c r="E140" s="9"/>
      <c r="F140" s="9"/>
      <c r="G140" s="9"/>
      <c r="L140" s="12"/>
      <c r="O140" s="13"/>
      <c r="Q140" s="14">
        <f t="shared" si="67"/>
        <v>0</v>
      </c>
      <c r="R140" s="326"/>
    </row>
    <row r="141" spans="1:18" x14ac:dyDescent="0.25">
      <c r="A141" s="9"/>
      <c r="B141" s="9"/>
      <c r="C141" s="9"/>
      <c r="D141" s="9"/>
      <c r="E141" s="9"/>
      <c r="F141" s="9"/>
      <c r="G141" s="9"/>
      <c r="L141" s="12"/>
      <c r="O141" s="13"/>
      <c r="Q141" s="14">
        <f t="shared" si="67"/>
        <v>0</v>
      </c>
      <c r="R141" s="326"/>
    </row>
    <row r="142" spans="1:18" x14ac:dyDescent="0.25">
      <c r="A142" s="9"/>
      <c r="B142" s="9"/>
      <c r="C142" s="9"/>
      <c r="D142" s="9"/>
      <c r="E142" s="9"/>
      <c r="F142" s="9"/>
      <c r="G142" s="9"/>
      <c r="L142" s="12"/>
      <c r="O142" s="13"/>
      <c r="Q142" s="14">
        <f t="shared" si="67"/>
        <v>0</v>
      </c>
      <c r="R142" s="326"/>
    </row>
    <row r="143" spans="1:18" x14ac:dyDescent="0.25">
      <c r="A143" s="9"/>
      <c r="B143" s="9"/>
      <c r="C143" s="9"/>
      <c r="D143" s="9"/>
      <c r="E143" s="9"/>
      <c r="F143" s="9"/>
      <c r="G143" s="9"/>
      <c r="L143" s="12"/>
      <c r="O143" s="13"/>
      <c r="Q143" s="14">
        <f t="shared" si="67"/>
        <v>0</v>
      </c>
      <c r="R143" s="326"/>
    </row>
    <row r="144" spans="1:18" x14ac:dyDescent="0.25">
      <c r="A144" s="9"/>
      <c r="B144" s="9"/>
      <c r="C144" s="9"/>
      <c r="D144" s="9"/>
      <c r="E144" s="9"/>
      <c r="F144" s="9"/>
      <c r="G144" s="9"/>
      <c r="L144" s="12"/>
      <c r="O144" s="13"/>
      <c r="Q144" s="14">
        <f t="shared" si="67"/>
        <v>0</v>
      </c>
      <c r="R144" s="326"/>
    </row>
    <row r="145" spans="1:18" x14ac:dyDescent="0.25">
      <c r="A145" s="9"/>
      <c r="B145" s="9"/>
      <c r="C145" s="9"/>
      <c r="D145" s="9"/>
      <c r="E145" s="9"/>
      <c r="F145" s="9"/>
      <c r="G145" s="9"/>
      <c r="L145" s="12"/>
      <c r="O145" s="13"/>
      <c r="Q145" s="14">
        <f t="shared" si="67"/>
        <v>0</v>
      </c>
      <c r="R145" s="326"/>
    </row>
    <row r="146" spans="1:18" x14ac:dyDescent="0.25">
      <c r="A146" s="9"/>
      <c r="B146" s="9"/>
      <c r="C146" s="9"/>
      <c r="D146" s="9"/>
      <c r="E146" s="9"/>
      <c r="F146" s="9"/>
      <c r="G146" s="9"/>
      <c r="L146" s="12"/>
      <c r="O146" s="13"/>
      <c r="Q146" s="14">
        <f t="shared" si="67"/>
        <v>0</v>
      </c>
      <c r="R146" s="326"/>
    </row>
    <row r="147" spans="1:18" x14ac:dyDescent="0.25">
      <c r="A147" s="9"/>
      <c r="B147" s="9"/>
      <c r="C147" s="9"/>
      <c r="D147" s="9"/>
      <c r="E147" s="9"/>
      <c r="F147" s="9"/>
      <c r="G147" s="9"/>
      <c r="L147" s="12"/>
      <c r="O147" s="13"/>
      <c r="Q147" s="14">
        <f t="shared" si="67"/>
        <v>0</v>
      </c>
      <c r="R147" s="326"/>
    </row>
    <row r="148" spans="1:18" x14ac:dyDescent="0.25">
      <c r="A148" s="9"/>
      <c r="B148" s="9"/>
      <c r="C148" s="9"/>
      <c r="D148" s="9"/>
      <c r="E148" s="9"/>
      <c r="F148" s="9"/>
      <c r="G148" s="9"/>
      <c r="L148" s="12"/>
      <c r="O148" s="13"/>
      <c r="Q148" s="14">
        <f t="shared" si="67"/>
        <v>0</v>
      </c>
      <c r="R148" s="326"/>
    </row>
    <row r="149" spans="1:18" x14ac:dyDescent="0.25">
      <c r="A149" s="9"/>
      <c r="B149" s="9"/>
      <c r="C149" s="9"/>
      <c r="D149" s="9"/>
      <c r="E149" s="9"/>
      <c r="F149" s="9"/>
      <c r="G149" s="9"/>
      <c r="L149" s="12"/>
      <c r="O149" s="13"/>
      <c r="Q149" s="14">
        <f t="shared" si="67"/>
        <v>0</v>
      </c>
      <c r="R149" s="326"/>
    </row>
    <row r="150" spans="1:18" x14ac:dyDescent="0.25">
      <c r="A150" s="9"/>
      <c r="B150" s="9"/>
      <c r="C150" s="9"/>
      <c r="D150" s="9"/>
      <c r="E150" s="9"/>
      <c r="F150" s="9"/>
      <c r="G150" s="9"/>
      <c r="L150" s="12"/>
      <c r="O150" s="13"/>
      <c r="Q150" s="14">
        <f t="shared" si="67"/>
        <v>0</v>
      </c>
      <c r="R150" s="326"/>
    </row>
    <row r="151" spans="1:18" x14ac:dyDescent="0.25">
      <c r="A151" s="9"/>
      <c r="B151" s="9"/>
      <c r="C151" s="9"/>
      <c r="D151" s="9"/>
      <c r="E151" s="9"/>
      <c r="F151" s="9"/>
      <c r="G151" s="9"/>
      <c r="L151" s="12"/>
      <c r="O151" s="13"/>
      <c r="Q151" s="14">
        <f t="shared" si="67"/>
        <v>0</v>
      </c>
      <c r="R151" s="326"/>
    </row>
    <row r="152" spans="1:18" x14ac:dyDescent="0.25">
      <c r="A152" s="9"/>
      <c r="B152" s="9"/>
      <c r="C152" s="9"/>
      <c r="D152" s="9"/>
      <c r="E152" s="9"/>
      <c r="F152" s="9"/>
      <c r="G152" s="9"/>
      <c r="L152" s="12"/>
      <c r="O152" s="13"/>
      <c r="Q152" s="14">
        <f t="shared" si="67"/>
        <v>0</v>
      </c>
      <c r="R152" s="326"/>
    </row>
    <row r="153" spans="1:18" x14ac:dyDescent="0.25">
      <c r="A153" s="9"/>
      <c r="B153" s="9"/>
      <c r="C153" s="9"/>
      <c r="D153" s="9"/>
      <c r="E153" s="9"/>
      <c r="F153" s="9"/>
      <c r="G153" s="9"/>
      <c r="L153" s="12"/>
      <c r="O153" s="13"/>
      <c r="Q153" s="14">
        <f t="shared" si="67"/>
        <v>0</v>
      </c>
      <c r="R153" s="326"/>
    </row>
    <row r="154" spans="1:18" x14ac:dyDescent="0.25">
      <c r="A154" s="9"/>
      <c r="B154" s="9"/>
      <c r="C154" s="9"/>
      <c r="D154" s="9"/>
      <c r="E154" s="9"/>
      <c r="F154" s="9"/>
      <c r="G154" s="9"/>
      <c r="L154" s="12"/>
      <c r="O154" s="13"/>
      <c r="Q154" s="14">
        <f t="shared" si="67"/>
        <v>0</v>
      </c>
      <c r="R154" s="326"/>
    </row>
    <row r="155" spans="1:18" x14ac:dyDescent="0.25">
      <c r="A155" s="9"/>
      <c r="B155" s="9"/>
      <c r="C155" s="9"/>
      <c r="D155" s="9"/>
      <c r="E155" s="9"/>
      <c r="F155" s="9"/>
      <c r="G155" s="9"/>
      <c r="L155" s="12"/>
      <c r="O155" s="13"/>
      <c r="Q155" s="14">
        <f t="shared" si="67"/>
        <v>0</v>
      </c>
      <c r="R155" s="326"/>
    </row>
    <row r="156" spans="1:18" x14ac:dyDescent="0.25">
      <c r="A156" s="9"/>
      <c r="B156" s="9"/>
      <c r="C156" s="9"/>
      <c r="D156" s="9"/>
      <c r="E156" s="9"/>
      <c r="F156" s="9"/>
      <c r="G156" s="9"/>
      <c r="L156" s="12"/>
      <c r="O156" s="13"/>
      <c r="Q156" s="14">
        <f t="shared" si="67"/>
        <v>0</v>
      </c>
      <c r="R156" s="326"/>
    </row>
    <row r="157" spans="1:18" x14ac:dyDescent="0.25">
      <c r="A157" s="9"/>
      <c r="B157" s="9"/>
      <c r="C157" s="9"/>
      <c r="D157" s="9"/>
      <c r="E157" s="9"/>
      <c r="F157" s="9"/>
      <c r="G157" s="9"/>
      <c r="L157" s="12"/>
      <c r="O157" s="13"/>
      <c r="Q157" s="14">
        <f t="shared" si="67"/>
        <v>0</v>
      </c>
      <c r="R157" s="326"/>
    </row>
    <row r="158" spans="1:18" x14ac:dyDescent="0.25">
      <c r="A158" s="9"/>
      <c r="B158" s="9"/>
      <c r="C158" s="9"/>
      <c r="D158" s="9"/>
      <c r="E158" s="9"/>
      <c r="F158" s="9"/>
      <c r="G158" s="9"/>
      <c r="L158" s="12"/>
      <c r="O158" s="13"/>
      <c r="Q158" s="14">
        <f t="shared" si="67"/>
        <v>0</v>
      </c>
      <c r="R158" s="326"/>
    </row>
    <row r="159" spans="1:18" x14ac:dyDescent="0.25">
      <c r="A159" s="9"/>
      <c r="B159" s="9"/>
      <c r="C159" s="9"/>
      <c r="D159" s="9"/>
      <c r="E159" s="9"/>
      <c r="F159" s="9"/>
      <c r="G159" s="9"/>
      <c r="L159" s="12"/>
      <c r="O159" s="13"/>
      <c r="Q159" s="14">
        <f t="shared" si="67"/>
        <v>0</v>
      </c>
      <c r="R159" s="326"/>
    </row>
    <row r="160" spans="1:18" x14ac:dyDescent="0.25">
      <c r="A160" s="9"/>
      <c r="B160" s="9"/>
      <c r="C160" s="9"/>
      <c r="D160" s="9"/>
      <c r="E160" s="9"/>
      <c r="F160" s="9"/>
      <c r="G160" s="9"/>
      <c r="L160" s="12"/>
      <c r="O160" s="13"/>
      <c r="Q160" s="14">
        <f t="shared" si="67"/>
        <v>0</v>
      </c>
      <c r="R160" s="326"/>
    </row>
    <row r="161" spans="1:18" x14ac:dyDescent="0.25">
      <c r="A161" s="9"/>
      <c r="B161" s="9"/>
      <c r="C161" s="9"/>
      <c r="D161" s="9"/>
      <c r="E161" s="9"/>
      <c r="F161" s="9"/>
      <c r="G161" s="9"/>
      <c r="L161" s="12"/>
      <c r="O161" s="13"/>
      <c r="Q161" s="14">
        <f t="shared" si="67"/>
        <v>0</v>
      </c>
      <c r="R161" s="326"/>
    </row>
    <row r="162" spans="1:18" x14ac:dyDescent="0.25">
      <c r="A162" s="9"/>
      <c r="B162" s="9"/>
      <c r="C162" s="9"/>
      <c r="D162" s="9"/>
      <c r="E162" s="9"/>
      <c r="F162" s="9"/>
      <c r="G162" s="9"/>
      <c r="L162" s="12"/>
      <c r="O162" s="13"/>
      <c r="Q162" s="14">
        <f t="shared" si="67"/>
        <v>0</v>
      </c>
      <c r="R162" s="326"/>
    </row>
    <row r="163" spans="1:18" x14ac:dyDescent="0.25">
      <c r="A163" s="9"/>
      <c r="B163" s="9"/>
      <c r="C163" s="9"/>
      <c r="D163" s="9"/>
      <c r="E163" s="9"/>
      <c r="F163" s="9"/>
      <c r="G163" s="9"/>
      <c r="L163" s="12"/>
      <c r="O163" s="13"/>
      <c r="Q163" s="14">
        <f t="shared" si="67"/>
        <v>0</v>
      </c>
    </row>
    <row r="164" spans="1:18" x14ac:dyDescent="0.25">
      <c r="A164" s="9"/>
      <c r="B164" s="9"/>
      <c r="C164" s="9"/>
      <c r="D164" s="9"/>
      <c r="E164" s="9"/>
      <c r="F164" s="9"/>
      <c r="G164" s="9"/>
      <c r="O164" s="13"/>
      <c r="Q164" s="14">
        <f t="shared" si="67"/>
        <v>0</v>
      </c>
    </row>
    <row r="165" spans="1:18" x14ac:dyDescent="0.25">
      <c r="A165" s="9"/>
      <c r="B165" s="9"/>
      <c r="C165" s="9"/>
      <c r="D165" s="9"/>
      <c r="E165" s="9"/>
      <c r="F165" s="9"/>
      <c r="G165" s="9"/>
      <c r="O165" s="13"/>
      <c r="Q165" s="14">
        <f t="shared" si="67"/>
        <v>0</v>
      </c>
    </row>
    <row r="166" spans="1:18" x14ac:dyDescent="0.25">
      <c r="A166" s="9"/>
      <c r="B166" s="9"/>
      <c r="C166" s="9"/>
      <c r="D166" s="9"/>
      <c r="E166" s="9"/>
      <c r="F166" s="9"/>
      <c r="G166" s="9"/>
      <c r="O166" s="13"/>
      <c r="Q166" s="14">
        <f t="shared" si="67"/>
        <v>0</v>
      </c>
    </row>
    <row r="167" spans="1:18" x14ac:dyDescent="0.25">
      <c r="A167" s="9"/>
      <c r="B167" s="9"/>
      <c r="C167" s="9"/>
      <c r="D167" s="9"/>
      <c r="E167" s="9"/>
      <c r="F167" s="9"/>
      <c r="G167" s="9"/>
      <c r="O167" s="13"/>
      <c r="Q167" s="14">
        <f t="shared" si="67"/>
        <v>0</v>
      </c>
    </row>
    <row r="168" spans="1:18" x14ac:dyDescent="0.25">
      <c r="A168" s="9"/>
      <c r="B168" s="9"/>
      <c r="C168" s="9"/>
      <c r="D168" s="9"/>
      <c r="E168" s="9"/>
      <c r="F168" s="9"/>
      <c r="G168" s="9"/>
      <c r="O168" s="13"/>
      <c r="Q168" s="14">
        <f t="shared" si="67"/>
        <v>0</v>
      </c>
    </row>
    <row r="169" spans="1:18" x14ac:dyDescent="0.25">
      <c r="A169" s="9"/>
      <c r="B169" s="9"/>
      <c r="C169" s="9"/>
      <c r="D169" s="9"/>
      <c r="E169" s="9"/>
      <c r="F169" s="9"/>
      <c r="G169" s="9"/>
      <c r="O169" s="13"/>
      <c r="Q169" s="14">
        <f t="shared" si="67"/>
        <v>0</v>
      </c>
    </row>
    <row r="170" spans="1:18" x14ac:dyDescent="0.25">
      <c r="A170" s="9"/>
      <c r="B170" s="9"/>
      <c r="C170" s="9"/>
      <c r="D170" s="9"/>
      <c r="E170" s="9"/>
      <c r="F170" s="9"/>
      <c r="G170" s="9"/>
      <c r="O170" s="13"/>
    </row>
    <row r="171" spans="1:18" x14ac:dyDescent="0.25">
      <c r="A171" s="9"/>
      <c r="B171" s="9"/>
      <c r="C171" s="9"/>
      <c r="D171" s="9"/>
      <c r="E171" s="9"/>
      <c r="F171" s="9"/>
      <c r="G171" s="9"/>
      <c r="O171" s="13"/>
    </row>
    <row r="172" spans="1:18" x14ac:dyDescent="0.25">
      <c r="A172" s="9"/>
      <c r="B172" s="9"/>
      <c r="C172" s="9"/>
      <c r="D172" s="9"/>
      <c r="E172" s="9"/>
      <c r="F172" s="9"/>
      <c r="G172" s="9"/>
    </row>
    <row r="173" spans="1:18" x14ac:dyDescent="0.25">
      <c r="A173" s="9"/>
      <c r="B173" s="9"/>
      <c r="C173" s="9"/>
      <c r="D173" s="9"/>
      <c r="E173" s="9"/>
      <c r="F173" s="9"/>
      <c r="G173" s="9"/>
    </row>
    <row r="174" spans="1:18" x14ac:dyDescent="0.25">
      <c r="A174" s="9"/>
      <c r="B174" s="9"/>
      <c r="C174" s="9"/>
      <c r="D174" s="9"/>
      <c r="E174" s="9"/>
      <c r="F174" s="9"/>
      <c r="G174" s="9"/>
    </row>
    <row r="175" spans="1:18" x14ac:dyDescent="0.25">
      <c r="A175" s="9"/>
      <c r="B175" s="9"/>
      <c r="C175" s="9"/>
      <c r="D175" s="9"/>
      <c r="E175" s="9"/>
      <c r="F175" s="9"/>
      <c r="G175" s="9"/>
    </row>
    <row r="176" spans="1:18" x14ac:dyDescent="0.25">
      <c r="A176" s="9"/>
      <c r="B176" s="9"/>
      <c r="C176" s="9"/>
      <c r="D176" s="9"/>
      <c r="E176" s="9"/>
      <c r="F176" s="9"/>
      <c r="G176" s="9"/>
    </row>
    <row r="177" spans="1:7" x14ac:dyDescent="0.25">
      <c r="A177" s="9"/>
      <c r="B177" s="9"/>
      <c r="C177" s="9"/>
      <c r="D177" s="9"/>
      <c r="E177" s="9"/>
      <c r="F177" s="9"/>
      <c r="G177" s="9"/>
    </row>
    <row r="178" spans="1:7" x14ac:dyDescent="0.25">
      <c r="A178" s="9"/>
      <c r="B178" s="9"/>
      <c r="C178" s="9"/>
      <c r="D178" s="9"/>
      <c r="E178" s="9"/>
      <c r="F178" s="9"/>
      <c r="G178" s="9"/>
    </row>
    <row r="179" spans="1:7" x14ac:dyDescent="0.25">
      <c r="A179" s="9"/>
      <c r="B179" s="9"/>
      <c r="C179" s="9"/>
      <c r="D179" s="9"/>
      <c r="E179" s="9"/>
      <c r="F179" s="9"/>
      <c r="G179" s="9"/>
    </row>
    <row r="180" spans="1:7" x14ac:dyDescent="0.25">
      <c r="A180" s="9"/>
      <c r="B180" s="9"/>
      <c r="C180" s="9"/>
      <c r="D180" s="9"/>
      <c r="E180" s="9"/>
      <c r="F180" s="9"/>
      <c r="G180" s="9"/>
    </row>
    <row r="181" spans="1:7" x14ac:dyDescent="0.25">
      <c r="A181" s="9"/>
      <c r="B181" s="9"/>
      <c r="C181" s="9"/>
      <c r="D181" s="9"/>
      <c r="E181" s="9"/>
      <c r="F181" s="9"/>
      <c r="G181" s="9"/>
    </row>
    <row r="182" spans="1:7" x14ac:dyDescent="0.25">
      <c r="A182" s="9"/>
      <c r="B182" s="9"/>
      <c r="C182" s="9"/>
      <c r="D182" s="9"/>
      <c r="E182" s="9"/>
      <c r="F182" s="9"/>
      <c r="G182" s="9"/>
    </row>
    <row r="183" spans="1:7" x14ac:dyDescent="0.25">
      <c r="A183" s="9"/>
      <c r="B183" s="9"/>
      <c r="C183" s="9"/>
      <c r="D183" s="9"/>
      <c r="E183" s="9"/>
      <c r="F183" s="9"/>
      <c r="G183" s="9"/>
    </row>
    <row r="184" spans="1:7" x14ac:dyDescent="0.25">
      <c r="A184" s="9"/>
      <c r="B184" s="9"/>
      <c r="C184" s="9"/>
      <c r="D184" s="9"/>
      <c r="E184" s="9"/>
      <c r="F184" s="9"/>
      <c r="G184" s="9"/>
    </row>
    <row r="185" spans="1:7" x14ac:dyDescent="0.25">
      <c r="A185" s="9"/>
      <c r="B185" s="9"/>
      <c r="C185" s="9"/>
      <c r="D185" s="9"/>
      <c r="E185" s="9"/>
      <c r="F185" s="9"/>
      <c r="G185" s="9"/>
    </row>
  </sheetData>
  <mergeCells count="97">
    <mergeCell ref="W89:AD89"/>
    <mergeCell ref="W90:AD90"/>
    <mergeCell ref="W91:AD91"/>
    <mergeCell ref="W92:AD92"/>
    <mergeCell ref="W93:AD93"/>
    <mergeCell ref="W94:AD94"/>
    <mergeCell ref="W95:AD95"/>
    <mergeCell ref="W96:AD96"/>
    <mergeCell ref="W98:AD98"/>
    <mergeCell ref="W97:AD97"/>
    <mergeCell ref="W82:AD82"/>
    <mergeCell ref="W83:AD83"/>
    <mergeCell ref="W77:AD77"/>
    <mergeCell ref="W78:AD78"/>
    <mergeCell ref="W79:AD79"/>
    <mergeCell ref="W80:AD80"/>
    <mergeCell ref="W81:AD81"/>
    <mergeCell ref="W74:AD74"/>
    <mergeCell ref="W75:AD75"/>
    <mergeCell ref="W76:AD76"/>
    <mergeCell ref="W69:AD69"/>
    <mergeCell ref="W70:AD70"/>
    <mergeCell ref="W71:AD71"/>
    <mergeCell ref="W72:AD72"/>
    <mergeCell ref="W73:AD73"/>
    <mergeCell ref="W84:AD84"/>
    <mergeCell ref="W85:AD85"/>
    <mergeCell ref="W86:AD86"/>
    <mergeCell ref="W87:AD87"/>
    <mergeCell ref="W88:AD88"/>
    <mergeCell ref="W68:AD68"/>
    <mergeCell ref="W62:AD62"/>
    <mergeCell ref="W63:AD63"/>
    <mergeCell ref="W64:AD64"/>
    <mergeCell ref="W65:AD65"/>
    <mergeCell ref="W66:AD66"/>
    <mergeCell ref="W17:AD17"/>
    <mergeCell ref="W18:AD18"/>
    <mergeCell ref="W19:AD19"/>
    <mergeCell ref="W20:AD20"/>
    <mergeCell ref="W67:AD67"/>
    <mergeCell ref="W59:AD59"/>
    <mergeCell ref="W60:AD60"/>
    <mergeCell ref="W61:AD61"/>
    <mergeCell ref="W54:AD54"/>
    <mergeCell ref="W55:AD55"/>
    <mergeCell ref="W56:AD56"/>
    <mergeCell ref="W57:AD57"/>
    <mergeCell ref="W58:AD58"/>
    <mergeCell ref="W26:AD26"/>
    <mergeCell ref="W27:AD27"/>
    <mergeCell ref="W34:AD34"/>
    <mergeCell ref="W35:AD35"/>
    <mergeCell ref="W33:AD33"/>
    <mergeCell ref="W36:AD36"/>
    <mergeCell ref="W51:AD51"/>
    <mergeCell ref="W28:AD28"/>
    <mergeCell ref="W29:AD29"/>
    <mergeCell ref="W30:AD30"/>
    <mergeCell ref="W31:AD31"/>
    <mergeCell ref="W32:AD32"/>
    <mergeCell ref="W46:AD46"/>
    <mergeCell ref="W45:AD45"/>
    <mergeCell ref="W42:AD42"/>
    <mergeCell ref="W43:AD43"/>
    <mergeCell ref="W44:AD44"/>
    <mergeCell ref="W37:AD37"/>
    <mergeCell ref="W38:AD38"/>
    <mergeCell ref="W2:AD2"/>
    <mergeCell ref="W3:AD3"/>
    <mergeCell ref="W4:AD4"/>
    <mergeCell ref="W5:AD5"/>
    <mergeCell ref="W6:AD6"/>
    <mergeCell ref="W7:AD7"/>
    <mergeCell ref="W8:AD8"/>
    <mergeCell ref="W14:AD14"/>
    <mergeCell ref="W15:AD15"/>
    <mergeCell ref="W16:AD16"/>
    <mergeCell ref="W9:AD9"/>
    <mergeCell ref="W10:AD10"/>
    <mergeCell ref="W11:AD11"/>
    <mergeCell ref="W12:AD12"/>
    <mergeCell ref="W13:AD13"/>
    <mergeCell ref="W21:AD21"/>
    <mergeCell ref="W22:AD22"/>
    <mergeCell ref="W23:AD23"/>
    <mergeCell ref="W24:AD24"/>
    <mergeCell ref="W25:AD25"/>
    <mergeCell ref="W39:AD39"/>
    <mergeCell ref="W40:AD40"/>
    <mergeCell ref="W41:AD41"/>
    <mergeCell ref="W53:AD53"/>
    <mergeCell ref="W47:AD47"/>
    <mergeCell ref="W48:AD48"/>
    <mergeCell ref="W49:AD49"/>
    <mergeCell ref="W50:AD50"/>
    <mergeCell ref="W52:AD52"/>
  </mergeCells>
  <phoneticPr fontId="6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EC90-BEF6-EA41-BA96-E2179DB84CB6}">
  <dimension ref="A1:Q35"/>
  <sheetViews>
    <sheetView topLeftCell="A5" workbookViewId="0">
      <selection activeCell="H40" sqref="H40"/>
    </sheetView>
  </sheetViews>
  <sheetFormatPr defaultColWidth="11.42578125" defaultRowHeight="15" x14ac:dyDescent="0.25"/>
  <cols>
    <col min="14" max="14" width="20.28515625" customWidth="1"/>
    <col min="17" max="17" width="25.85546875" bestFit="1" customWidth="1"/>
  </cols>
  <sheetData>
    <row r="1" spans="1:17" x14ac:dyDescent="0.2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 x14ac:dyDescent="0.25">
      <c r="A2" s="5"/>
      <c r="B2" s="157" t="s">
        <v>147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 s="11" customFormat="1" ht="15" customHeight="1" x14ac:dyDescent="0.25">
      <c r="A3" s="156"/>
      <c r="B3" s="296" t="s">
        <v>148</v>
      </c>
      <c r="C3" s="296"/>
      <c r="D3" s="296"/>
      <c r="E3" s="296"/>
      <c r="F3" s="296"/>
      <c r="G3" s="296"/>
      <c r="H3" s="296"/>
      <c r="I3" s="296"/>
      <c r="J3" s="296"/>
      <c r="K3" s="296" t="s">
        <v>149</v>
      </c>
      <c r="L3" s="296" t="s">
        <v>150</v>
      </c>
      <c r="M3" s="296" t="s">
        <v>151</v>
      </c>
      <c r="N3" s="297"/>
      <c r="O3" s="296" t="s">
        <v>152</v>
      </c>
      <c r="P3" s="296" t="s">
        <v>153</v>
      </c>
      <c r="Q3" s="296" t="s">
        <v>154</v>
      </c>
    </row>
    <row r="4" spans="1:17" s="11" customFormat="1" x14ac:dyDescent="0.25">
      <c r="A4" s="148" t="s">
        <v>155</v>
      </c>
      <c r="B4" s="144" t="s">
        <v>156</v>
      </c>
      <c r="C4" s="144" t="s">
        <v>157</v>
      </c>
      <c r="D4" s="144" t="s">
        <v>158</v>
      </c>
      <c r="E4" s="144" t="s">
        <v>159</v>
      </c>
      <c r="F4" s="144" t="s">
        <v>160</v>
      </c>
      <c r="G4" s="144" t="s">
        <v>161</v>
      </c>
      <c r="H4" s="144" t="s">
        <v>162</v>
      </c>
      <c r="I4" s="144" t="s">
        <v>163</v>
      </c>
      <c r="J4" s="144" t="s">
        <v>164</v>
      </c>
      <c r="K4" s="288"/>
      <c r="L4" s="288"/>
      <c r="M4" s="288"/>
      <c r="N4" s="298"/>
      <c r="O4" s="288"/>
      <c r="P4" s="288"/>
      <c r="Q4" s="288"/>
    </row>
    <row r="5" spans="1:17" s="11" customFormat="1" x14ac:dyDescent="0.25">
      <c r="A5" s="149" t="s">
        <v>165</v>
      </c>
      <c r="B5" s="145">
        <f>4754+4754</f>
        <v>9508</v>
      </c>
      <c r="C5" s="145">
        <f>4640+4640</f>
        <v>9280</v>
      </c>
      <c r="D5" s="145">
        <f>4596+4596</f>
        <v>9192</v>
      </c>
      <c r="E5" s="145">
        <f>4611+4611</f>
        <v>9222</v>
      </c>
      <c r="F5" s="145">
        <f>1820+1820</f>
        <v>3640</v>
      </c>
      <c r="G5" s="145">
        <f>1079</f>
        <v>1079</v>
      </c>
      <c r="H5" s="145">
        <f>1079</f>
        <v>1079</v>
      </c>
      <c r="I5" s="145">
        <f>1080</f>
        <v>1080</v>
      </c>
      <c r="J5" s="145">
        <f>1075</f>
        <v>1075</v>
      </c>
      <c r="K5" s="145">
        <v>1489</v>
      </c>
      <c r="L5" s="145">
        <v>2233</v>
      </c>
      <c r="M5" s="145">
        <v>306</v>
      </c>
      <c r="N5" s="155"/>
      <c r="O5" s="145">
        <v>65</v>
      </c>
      <c r="P5" s="147">
        <f>SUM(B5:O5)</f>
        <v>49248</v>
      </c>
      <c r="Q5" s="281">
        <v>43584</v>
      </c>
    </row>
    <row r="6" spans="1:17" s="11" customFormat="1" x14ac:dyDescent="0.25">
      <c r="A6" s="150" t="s">
        <v>3</v>
      </c>
      <c r="B6" s="145">
        <f t="shared" ref="B6:P6" si="0">B5/1000</f>
        <v>9.5079999999999991</v>
      </c>
      <c r="C6" s="145">
        <f t="shared" si="0"/>
        <v>9.2799999999999994</v>
      </c>
      <c r="D6" s="145">
        <f t="shared" si="0"/>
        <v>9.1920000000000002</v>
      </c>
      <c r="E6" s="145">
        <f t="shared" si="0"/>
        <v>9.2219999999999995</v>
      </c>
      <c r="F6" s="145">
        <f t="shared" si="0"/>
        <v>3.64</v>
      </c>
      <c r="G6" s="145">
        <f t="shared" si="0"/>
        <v>1.079</v>
      </c>
      <c r="H6" s="145">
        <f t="shared" si="0"/>
        <v>1.079</v>
      </c>
      <c r="I6" s="145">
        <f t="shared" si="0"/>
        <v>1.08</v>
      </c>
      <c r="J6" s="145">
        <f t="shared" si="0"/>
        <v>1.075</v>
      </c>
      <c r="K6" s="145">
        <f t="shared" si="0"/>
        <v>1.4890000000000001</v>
      </c>
      <c r="L6" s="145">
        <f t="shared" si="0"/>
        <v>2.2330000000000001</v>
      </c>
      <c r="M6" s="145">
        <f t="shared" si="0"/>
        <v>0.30599999999999999</v>
      </c>
      <c r="N6" s="155"/>
      <c r="O6" s="145">
        <f t="shared" si="0"/>
        <v>6.5000000000000002E-2</v>
      </c>
      <c r="P6" s="145">
        <f t="shared" si="0"/>
        <v>49.247999999999998</v>
      </c>
      <c r="Q6" s="281"/>
    </row>
    <row r="7" spans="1:17" s="34" customFormat="1" x14ac:dyDescent="0.25">
      <c r="A7" s="148" t="s">
        <v>165</v>
      </c>
      <c r="B7" s="151"/>
      <c r="C7" s="151"/>
      <c r="D7" s="151"/>
      <c r="E7" s="151"/>
      <c r="F7" s="151"/>
      <c r="G7" s="151">
        <v>1077.5</v>
      </c>
      <c r="H7" s="151">
        <v>1073.5999999999999</v>
      </c>
      <c r="I7" s="151">
        <v>1077.4000000000001</v>
      </c>
      <c r="J7" s="151">
        <v>1078.2</v>
      </c>
      <c r="K7" s="151"/>
      <c r="L7" s="151"/>
      <c r="M7" s="151"/>
      <c r="N7" s="155"/>
      <c r="O7" s="151">
        <v>65.2</v>
      </c>
      <c r="P7" s="152">
        <f>M7+L7+K7+F7+E7+D7+C7+B7+O7</f>
        <v>65.2</v>
      </c>
      <c r="Q7" s="282">
        <v>43763</v>
      </c>
    </row>
    <row r="8" spans="1:17" s="34" customFormat="1" x14ac:dyDescent="0.25">
      <c r="A8" s="158" t="s">
        <v>3</v>
      </c>
      <c r="B8" s="151">
        <f t="shared" ref="B8:M8" si="1">B7/1000</f>
        <v>0</v>
      </c>
      <c r="C8" s="151">
        <f t="shared" si="1"/>
        <v>0</v>
      </c>
      <c r="D8" s="151">
        <f t="shared" si="1"/>
        <v>0</v>
      </c>
      <c r="E8" s="151">
        <f t="shared" si="1"/>
        <v>0</v>
      </c>
      <c r="F8" s="151">
        <f t="shared" si="1"/>
        <v>0</v>
      </c>
      <c r="G8" s="151">
        <f t="shared" si="1"/>
        <v>1.0774999999999999</v>
      </c>
      <c r="H8" s="151">
        <f t="shared" si="1"/>
        <v>1.0735999999999999</v>
      </c>
      <c r="I8" s="151">
        <f t="shared" si="1"/>
        <v>1.0774000000000001</v>
      </c>
      <c r="J8" s="151">
        <f t="shared" si="1"/>
        <v>1.0782</v>
      </c>
      <c r="K8" s="151">
        <f t="shared" si="1"/>
        <v>0</v>
      </c>
      <c r="L8" s="151">
        <f t="shared" si="1"/>
        <v>0</v>
      </c>
      <c r="M8" s="151">
        <f t="shared" si="1"/>
        <v>0</v>
      </c>
      <c r="N8" s="155"/>
      <c r="O8" s="151">
        <f>O7/1000</f>
        <v>6.5200000000000008E-2</v>
      </c>
      <c r="P8" s="151">
        <f>P7/1000</f>
        <v>6.5200000000000008E-2</v>
      </c>
      <c r="Q8" s="282"/>
    </row>
    <row r="9" spans="1:17" s="34" customFormat="1" ht="14.1" customHeight="1" x14ac:dyDescent="0.25">
      <c r="A9" s="138"/>
      <c r="B9" s="288" t="s">
        <v>148</v>
      </c>
      <c r="C9" s="288"/>
      <c r="D9" s="288"/>
      <c r="E9" s="288"/>
      <c r="F9" s="288"/>
      <c r="G9" s="288"/>
      <c r="H9" s="288"/>
      <c r="I9" s="288"/>
      <c r="J9" s="288"/>
      <c r="K9" s="289" t="s">
        <v>166</v>
      </c>
      <c r="L9" s="290"/>
      <c r="M9" s="291"/>
      <c r="N9" s="288" t="s">
        <v>167</v>
      </c>
      <c r="O9" s="288" t="s">
        <v>152</v>
      </c>
      <c r="P9" s="288" t="s">
        <v>153</v>
      </c>
      <c r="Q9" s="288" t="s">
        <v>154</v>
      </c>
    </row>
    <row r="10" spans="1:17" s="34" customFormat="1" ht="14.1" customHeight="1" x14ac:dyDescent="0.25">
      <c r="A10" s="25" t="s">
        <v>155</v>
      </c>
      <c r="B10" s="144" t="s">
        <v>156</v>
      </c>
      <c r="C10" s="144" t="s">
        <v>157</v>
      </c>
      <c r="D10" s="144" t="s">
        <v>158</v>
      </c>
      <c r="E10" s="144" t="s">
        <v>159</v>
      </c>
      <c r="F10" s="144" t="s">
        <v>160</v>
      </c>
      <c r="G10" s="144" t="s">
        <v>161</v>
      </c>
      <c r="H10" s="144" t="s">
        <v>162</v>
      </c>
      <c r="I10" s="144" t="s">
        <v>163</v>
      </c>
      <c r="J10" s="144" t="s">
        <v>164</v>
      </c>
      <c r="K10" s="292"/>
      <c r="L10" s="293"/>
      <c r="M10" s="294"/>
      <c r="N10" s="288"/>
      <c r="O10" s="288"/>
      <c r="P10" s="288"/>
      <c r="Q10" s="288"/>
    </row>
    <row r="11" spans="1:17" s="11" customFormat="1" x14ac:dyDescent="0.25">
      <c r="A11" s="159" t="s">
        <v>165</v>
      </c>
      <c r="B11" s="145">
        <f>4735+4720</f>
        <v>9455</v>
      </c>
      <c r="C11" s="145">
        <f>4620+4635</f>
        <v>9255</v>
      </c>
      <c r="D11" s="145">
        <f>4625+4575</f>
        <v>9200</v>
      </c>
      <c r="E11" s="145">
        <f>4590+4595</f>
        <v>9185</v>
      </c>
      <c r="F11" s="145">
        <f>1799.4+1817.1</f>
        <v>3616.5</v>
      </c>
      <c r="G11" s="145">
        <f>1079</f>
        <v>1079</v>
      </c>
      <c r="H11" s="145">
        <f>1079</f>
        <v>1079</v>
      </c>
      <c r="I11" s="145">
        <f>1080</f>
        <v>1080</v>
      </c>
      <c r="J11" s="145">
        <f>1075</f>
        <v>1075</v>
      </c>
      <c r="K11" s="285">
        <v>3635</v>
      </c>
      <c r="L11" s="286"/>
      <c r="M11" s="287"/>
      <c r="N11" s="146">
        <f>577.9+5</f>
        <v>582.9</v>
      </c>
      <c r="O11" s="145">
        <v>65.2</v>
      </c>
      <c r="P11" s="147">
        <f>SUM(B11:O11)</f>
        <v>49307.6</v>
      </c>
      <c r="Q11" s="281">
        <v>43768</v>
      </c>
    </row>
    <row r="12" spans="1:17" s="11" customFormat="1" x14ac:dyDescent="0.25">
      <c r="A12" s="150" t="s">
        <v>3</v>
      </c>
      <c r="B12" s="153">
        <f t="shared" ref="B12:J12" si="2">B11/1000</f>
        <v>9.4550000000000001</v>
      </c>
      <c r="C12" s="153">
        <f t="shared" si="2"/>
        <v>9.2550000000000008</v>
      </c>
      <c r="D12" s="153">
        <f t="shared" si="2"/>
        <v>9.1999999999999993</v>
      </c>
      <c r="E12" s="153">
        <f t="shared" si="2"/>
        <v>9.1850000000000005</v>
      </c>
      <c r="F12" s="153">
        <f t="shared" si="2"/>
        <v>3.6164999999999998</v>
      </c>
      <c r="G12" s="153">
        <f t="shared" si="2"/>
        <v>1.079</v>
      </c>
      <c r="H12" s="153">
        <f t="shared" si="2"/>
        <v>1.079</v>
      </c>
      <c r="I12" s="153">
        <f t="shared" si="2"/>
        <v>1.08</v>
      </c>
      <c r="J12" s="153">
        <f t="shared" si="2"/>
        <v>1.075</v>
      </c>
      <c r="K12" s="285">
        <f t="shared" ref="K12" si="3">K11/1000</f>
        <v>3.6349999999999998</v>
      </c>
      <c r="L12" s="286"/>
      <c r="M12" s="287"/>
      <c r="N12" s="154">
        <f t="shared" ref="N12" si="4">N11/1000</f>
        <v>0.58289999999999997</v>
      </c>
      <c r="O12" s="145">
        <f t="shared" ref="O12:P12" si="5">O11/1000</f>
        <v>6.5200000000000008E-2</v>
      </c>
      <c r="P12" s="145">
        <f t="shared" si="5"/>
        <v>49.307600000000001</v>
      </c>
      <c r="Q12" s="281"/>
    </row>
    <row r="13" spans="1:17" s="34" customFormat="1" x14ac:dyDescent="0.25">
      <c r="A13" s="139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1"/>
      <c r="O13" s="140"/>
      <c r="P13" s="140"/>
      <c r="Q13" s="142"/>
    </row>
    <row r="14" spans="1:17" s="34" customFormat="1" x14ac:dyDescent="0.25">
      <c r="A14" s="139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1"/>
      <c r="O14" s="140"/>
      <c r="P14" s="140"/>
      <c r="Q14" s="142"/>
    </row>
    <row r="15" spans="1:17" s="34" customFormat="1" ht="14.1" customHeight="1" x14ac:dyDescent="0.25">
      <c r="A15" s="138"/>
      <c r="B15" s="288" t="s">
        <v>148</v>
      </c>
      <c r="C15" s="288"/>
      <c r="D15" s="288"/>
      <c r="E15" s="288"/>
      <c r="F15" s="288"/>
      <c r="G15" s="288"/>
      <c r="H15" s="288"/>
      <c r="I15" s="288"/>
      <c r="J15" s="288"/>
      <c r="K15" s="289" t="s">
        <v>166</v>
      </c>
      <c r="L15" s="290"/>
      <c r="M15" s="291"/>
      <c r="N15" s="288" t="s">
        <v>168</v>
      </c>
      <c r="O15" s="288" t="s">
        <v>152</v>
      </c>
      <c r="P15" s="288" t="s">
        <v>169</v>
      </c>
      <c r="Q15" s="288" t="s">
        <v>154</v>
      </c>
    </row>
    <row r="16" spans="1:17" s="34" customFormat="1" x14ac:dyDescent="0.25">
      <c r="A16" s="25" t="s">
        <v>155</v>
      </c>
      <c r="B16" s="144" t="s">
        <v>156</v>
      </c>
      <c r="C16" s="144" t="s">
        <v>157</v>
      </c>
      <c r="D16" s="144" t="s">
        <v>158</v>
      </c>
      <c r="E16" s="144" t="s">
        <v>159</v>
      </c>
      <c r="F16" s="144" t="s">
        <v>160</v>
      </c>
      <c r="G16" s="144" t="s">
        <v>161</v>
      </c>
      <c r="H16" s="144" t="s">
        <v>162</v>
      </c>
      <c r="I16" s="144" t="s">
        <v>163</v>
      </c>
      <c r="J16" s="144" t="s">
        <v>164</v>
      </c>
      <c r="K16" s="292"/>
      <c r="L16" s="293"/>
      <c r="M16" s="294"/>
      <c r="N16" s="288"/>
      <c r="O16" s="288"/>
      <c r="P16" s="288"/>
      <c r="Q16" s="288"/>
    </row>
    <row r="17" spans="1:17" s="11" customFormat="1" x14ac:dyDescent="0.25">
      <c r="A17" s="26" t="s">
        <v>165</v>
      </c>
      <c r="B17" s="145">
        <f>4735+4720</f>
        <v>9455</v>
      </c>
      <c r="C17" s="145">
        <f>4620+4635</f>
        <v>9255</v>
      </c>
      <c r="D17" s="145">
        <f>4625+4575</f>
        <v>9200</v>
      </c>
      <c r="E17" s="145">
        <f>4590+4595</f>
        <v>9185</v>
      </c>
      <c r="F17" s="145">
        <f>1799.4+1817.1</f>
        <v>3616.5</v>
      </c>
      <c r="G17" s="145">
        <f>1079</f>
        <v>1079</v>
      </c>
      <c r="H17" s="145">
        <f>1079</f>
        <v>1079</v>
      </c>
      <c r="I17" s="145">
        <f>1080</f>
        <v>1080</v>
      </c>
      <c r="J17" s="145">
        <f>1075</f>
        <v>1075</v>
      </c>
      <c r="K17" s="285">
        <v>3635</v>
      </c>
      <c r="L17" s="286"/>
      <c r="M17" s="287"/>
      <c r="N17" s="146">
        <v>577.9</v>
      </c>
      <c r="O17" s="145">
        <v>65.2</v>
      </c>
      <c r="P17" s="147">
        <f>SUM(B17:O17)</f>
        <v>49302.6</v>
      </c>
      <c r="Q17" s="281">
        <v>43768</v>
      </c>
    </row>
    <row r="18" spans="1:17" s="11" customFormat="1" x14ac:dyDescent="0.25">
      <c r="A18" s="27" t="s">
        <v>3</v>
      </c>
      <c r="B18" s="153">
        <f t="shared" ref="B18:N18" si="6">B17/1000</f>
        <v>9.4550000000000001</v>
      </c>
      <c r="C18" s="153">
        <f t="shared" si="6"/>
        <v>9.2550000000000008</v>
      </c>
      <c r="D18" s="153">
        <f t="shared" si="6"/>
        <v>9.1999999999999993</v>
      </c>
      <c r="E18" s="153">
        <f t="shared" si="6"/>
        <v>9.1850000000000005</v>
      </c>
      <c r="F18" s="153">
        <f t="shared" si="6"/>
        <v>3.6164999999999998</v>
      </c>
      <c r="G18" s="153">
        <f t="shared" si="6"/>
        <v>1.079</v>
      </c>
      <c r="H18" s="153">
        <f t="shared" si="6"/>
        <v>1.079</v>
      </c>
      <c r="I18" s="153">
        <f t="shared" si="6"/>
        <v>1.08</v>
      </c>
      <c r="J18" s="153">
        <f t="shared" si="6"/>
        <v>1.075</v>
      </c>
      <c r="K18" s="285">
        <f t="shared" si="6"/>
        <v>3.6349999999999998</v>
      </c>
      <c r="L18" s="286"/>
      <c r="M18" s="287"/>
      <c r="N18" s="154">
        <f t="shared" si="6"/>
        <v>0.57789999999999997</v>
      </c>
      <c r="O18" s="147">
        <f>O17/1000</f>
        <v>6.5200000000000008E-2</v>
      </c>
      <c r="P18" s="145">
        <f t="shared" ref="P18" si="7">P17/1000</f>
        <v>49.302599999999998</v>
      </c>
      <c r="Q18" s="281"/>
    </row>
    <row r="19" spans="1:17" s="11" customFormat="1" ht="14.25" x14ac:dyDescent="0.25">
      <c r="P19" s="143"/>
    </row>
    <row r="20" spans="1:17" x14ac:dyDescent="0.25">
      <c r="B20" s="295" t="s">
        <v>221</v>
      </c>
      <c r="C20" s="295"/>
      <c r="D20" s="295"/>
      <c r="E20" s="295"/>
      <c r="F20" s="295" t="s">
        <v>222</v>
      </c>
      <c r="G20" s="295"/>
      <c r="H20" s="295"/>
      <c r="I20" s="295"/>
      <c r="J20" s="295"/>
      <c r="K20" s="295"/>
      <c r="L20" s="295"/>
      <c r="M20" s="283" t="s">
        <v>170</v>
      </c>
    </row>
    <row r="21" spans="1:17" x14ac:dyDescent="0.25">
      <c r="A21" s="166" t="s">
        <v>155</v>
      </c>
      <c r="B21" s="208">
        <v>1</v>
      </c>
      <c r="C21" s="208">
        <v>2</v>
      </c>
      <c r="D21" s="208">
        <v>3</v>
      </c>
      <c r="E21" s="208">
        <v>4</v>
      </c>
      <c r="F21" s="208">
        <v>1</v>
      </c>
      <c r="G21" s="208">
        <v>2</v>
      </c>
      <c r="H21" s="208">
        <v>3</v>
      </c>
      <c r="I21" s="208">
        <v>4</v>
      </c>
      <c r="J21" s="208">
        <v>5</v>
      </c>
      <c r="K21" s="208">
        <v>6</v>
      </c>
      <c r="L21" s="208">
        <v>7</v>
      </c>
      <c r="M21" s="284"/>
      <c r="N21" s="207" t="s">
        <v>171</v>
      </c>
      <c r="O21" s="207" t="s">
        <v>172</v>
      </c>
      <c r="P21" s="207" t="s">
        <v>173</v>
      </c>
    </row>
    <row r="22" spans="1:17" x14ac:dyDescent="0.25">
      <c r="A22" s="149" t="s">
        <v>165</v>
      </c>
      <c r="B22" s="80">
        <v>2485</v>
      </c>
      <c r="C22" s="80">
        <v>2495</v>
      </c>
      <c r="D22" s="80">
        <v>2485</v>
      </c>
      <c r="E22" s="80">
        <v>2480</v>
      </c>
      <c r="F22" s="80">
        <v>1065.3</v>
      </c>
      <c r="G22" s="80">
        <v>1066.8</v>
      </c>
      <c r="H22" s="80">
        <v>1078.4000000000001</v>
      </c>
      <c r="I22" s="80">
        <v>1076.4000000000001</v>
      </c>
      <c r="J22" s="80">
        <v>1068.3</v>
      </c>
      <c r="K22" s="80">
        <v>1065.5999999999999</v>
      </c>
      <c r="L22" s="80">
        <v>1077.4000000000001</v>
      </c>
      <c r="M22" s="188">
        <v>356</v>
      </c>
      <c r="N22" s="167">
        <f>SUM(B22:E22)</f>
        <v>9945</v>
      </c>
      <c r="O22" s="167">
        <f>SUM(F22:L22)</f>
        <v>7498.1999999999989</v>
      </c>
      <c r="P22" s="167">
        <f>SUM(N22:O22)</f>
        <v>17443.199999999997</v>
      </c>
    </row>
    <row r="23" spans="1:17" x14ac:dyDescent="0.25">
      <c r="A23" s="150" t="s">
        <v>3</v>
      </c>
      <c r="B23" s="80">
        <f t="shared" ref="B23:E23" si="8">B22/1000</f>
        <v>2.4849999999999999</v>
      </c>
      <c r="C23" s="80">
        <f t="shared" si="8"/>
        <v>2.4950000000000001</v>
      </c>
      <c r="D23" s="80">
        <f t="shared" si="8"/>
        <v>2.4849999999999999</v>
      </c>
      <c r="E23" s="80">
        <f t="shared" si="8"/>
        <v>2.48</v>
      </c>
      <c r="F23" s="80">
        <f>F22/1000</f>
        <v>1.0652999999999999</v>
      </c>
      <c r="G23" s="80">
        <f t="shared" ref="G23:M23" si="9">G22/1000</f>
        <v>1.0668</v>
      </c>
      <c r="H23" s="80">
        <f t="shared" si="9"/>
        <v>1.0784</v>
      </c>
      <c r="I23" s="80">
        <f t="shared" si="9"/>
        <v>1.0764</v>
      </c>
      <c r="J23" s="80">
        <f t="shared" si="9"/>
        <v>1.0683</v>
      </c>
      <c r="K23" s="80">
        <f t="shared" si="9"/>
        <v>1.0655999999999999</v>
      </c>
      <c r="L23" s="80">
        <f t="shared" si="9"/>
        <v>1.0774000000000001</v>
      </c>
      <c r="M23" s="80">
        <f t="shared" si="9"/>
        <v>0.35599999999999998</v>
      </c>
      <c r="N23" s="168">
        <f>N22/1000</f>
        <v>9.9450000000000003</v>
      </c>
      <c r="O23" s="168">
        <f>O22/1000</f>
        <v>7.4981999999999989</v>
      </c>
      <c r="P23" s="167">
        <f>SUM(N23:O23)</f>
        <v>17.443199999999997</v>
      </c>
    </row>
    <row r="26" spans="1:17" x14ac:dyDescent="0.25">
      <c r="Q26" s="288" t="s">
        <v>154</v>
      </c>
    </row>
    <row r="27" spans="1:17" x14ac:dyDescent="0.25">
      <c r="A27" s="166" t="s">
        <v>155</v>
      </c>
      <c r="B27" s="214" t="s">
        <v>214</v>
      </c>
      <c r="C27" s="214" t="s">
        <v>215</v>
      </c>
      <c r="D27" s="214" t="s">
        <v>216</v>
      </c>
      <c r="E27" s="214" t="s">
        <v>226</v>
      </c>
      <c r="F27" s="218" t="s">
        <v>218</v>
      </c>
      <c r="G27" s="218" t="s">
        <v>219</v>
      </c>
      <c r="H27" s="218" t="s">
        <v>220</v>
      </c>
      <c r="I27" s="218" t="s">
        <v>223</v>
      </c>
      <c r="J27" s="218" t="s">
        <v>224</v>
      </c>
      <c r="K27" s="218" t="s">
        <v>225</v>
      </c>
      <c r="L27" s="218" t="s">
        <v>227</v>
      </c>
      <c r="M27" s="218" t="s">
        <v>228</v>
      </c>
      <c r="N27" s="218" t="s">
        <v>230</v>
      </c>
      <c r="O27" s="218" t="s">
        <v>231</v>
      </c>
      <c r="Q27" s="288"/>
    </row>
    <row r="28" spans="1:17" x14ac:dyDescent="0.25">
      <c r="A28" s="149" t="s">
        <v>165</v>
      </c>
      <c r="B28" s="80"/>
      <c r="C28" s="80"/>
      <c r="D28" s="80"/>
      <c r="E28" s="80">
        <v>329.2</v>
      </c>
      <c r="F28">
        <v>1300.5</v>
      </c>
      <c r="G28">
        <v>3090</v>
      </c>
      <c r="H28">
        <v>556.9</v>
      </c>
      <c r="I28">
        <v>496</v>
      </c>
      <c r="J28">
        <v>119.1</v>
      </c>
      <c r="K28">
        <v>146.4</v>
      </c>
      <c r="L28">
        <v>1751.8</v>
      </c>
      <c r="M28">
        <v>1192</v>
      </c>
      <c r="N28">
        <v>1161.8</v>
      </c>
      <c r="O28">
        <v>67.599999999999994</v>
      </c>
      <c r="Q28" s="281">
        <v>43785</v>
      </c>
    </row>
    <row r="29" spans="1:17" x14ac:dyDescent="0.25">
      <c r="A29" s="150" t="s">
        <v>3</v>
      </c>
      <c r="B29" s="80">
        <v>2.6549999999999998</v>
      </c>
      <c r="C29" s="80">
        <v>3.8050000000000002</v>
      </c>
      <c r="D29" s="80">
        <v>4.09</v>
      </c>
      <c r="E29" s="80">
        <f t="shared" ref="E29:O29" si="10">E28/1000</f>
        <v>0.32919999999999999</v>
      </c>
      <c r="F29" s="80">
        <f t="shared" si="10"/>
        <v>1.3005</v>
      </c>
      <c r="G29" s="80">
        <f t="shared" si="10"/>
        <v>3.09</v>
      </c>
      <c r="H29" s="80">
        <f t="shared" si="10"/>
        <v>0.55689999999999995</v>
      </c>
      <c r="I29" s="80">
        <f t="shared" si="10"/>
        <v>0.496</v>
      </c>
      <c r="J29" s="80">
        <f t="shared" si="10"/>
        <v>0.1191</v>
      </c>
      <c r="K29" s="80">
        <f t="shared" si="10"/>
        <v>0.1464</v>
      </c>
      <c r="L29" s="80">
        <f t="shared" si="10"/>
        <v>1.7518</v>
      </c>
      <c r="M29" s="80">
        <f t="shared" si="10"/>
        <v>1.1919999999999999</v>
      </c>
      <c r="N29" s="80">
        <f t="shared" si="10"/>
        <v>1.1617999999999999</v>
      </c>
      <c r="O29" s="80">
        <f t="shared" si="10"/>
        <v>6.7599999999999993E-2</v>
      </c>
      <c r="Q29" s="281"/>
    </row>
    <row r="32" spans="1:17" x14ac:dyDescent="0.25">
      <c r="Q32" s="288" t="s">
        <v>154</v>
      </c>
    </row>
    <row r="33" spans="1:17" x14ac:dyDescent="0.25">
      <c r="A33" s="166" t="s">
        <v>155</v>
      </c>
      <c r="B33" s="215" t="s">
        <v>234</v>
      </c>
      <c r="C33" s="215" t="s">
        <v>235</v>
      </c>
      <c r="D33" s="215" t="s">
        <v>236</v>
      </c>
      <c r="E33" s="215" t="s">
        <v>237</v>
      </c>
      <c r="F33" s="215" t="s">
        <v>238</v>
      </c>
      <c r="G33" s="216" t="s">
        <v>239</v>
      </c>
      <c r="H33" s="216" t="s">
        <v>240</v>
      </c>
      <c r="Q33" s="288"/>
    </row>
    <row r="34" spans="1:17" x14ac:dyDescent="0.25">
      <c r="A34" s="149" t="s">
        <v>165</v>
      </c>
      <c r="B34" s="80">
        <v>1044</v>
      </c>
      <c r="C34" s="80">
        <f>2138.6+1622.3</f>
        <v>3760.8999999999996</v>
      </c>
      <c r="D34" s="80">
        <v>68.2</v>
      </c>
      <c r="E34" s="80">
        <v>1752.2</v>
      </c>
      <c r="F34" s="80">
        <v>493.7</v>
      </c>
      <c r="G34" s="219">
        <v>623.29999999999995</v>
      </c>
      <c r="H34" s="219">
        <v>588.6</v>
      </c>
      <c r="Q34" s="281">
        <v>43787</v>
      </c>
    </row>
    <row r="35" spans="1:17" x14ac:dyDescent="0.25">
      <c r="A35" s="150" t="s">
        <v>3</v>
      </c>
      <c r="B35" s="80">
        <f t="shared" ref="B35:H35" si="11">B34/1000</f>
        <v>1.044</v>
      </c>
      <c r="C35" s="80">
        <f t="shared" si="11"/>
        <v>3.7608999999999995</v>
      </c>
      <c r="D35" s="80">
        <f t="shared" si="11"/>
        <v>6.8199999999999997E-2</v>
      </c>
      <c r="E35" s="80">
        <f t="shared" si="11"/>
        <v>1.7522</v>
      </c>
      <c r="F35" s="80">
        <f t="shared" si="11"/>
        <v>0.49369999999999997</v>
      </c>
      <c r="G35" s="80">
        <f t="shared" si="11"/>
        <v>0.62329999999999997</v>
      </c>
      <c r="H35" s="219">
        <f t="shared" si="11"/>
        <v>0.58860000000000001</v>
      </c>
      <c r="Q35" s="281"/>
    </row>
  </sheetData>
  <mergeCells count="35">
    <mergeCell ref="Q3:Q4"/>
    <mergeCell ref="P3:P4"/>
    <mergeCell ref="N3:N4"/>
    <mergeCell ref="B3:J3"/>
    <mergeCell ref="L3:L4"/>
    <mergeCell ref="K3:K4"/>
    <mergeCell ref="M3:M4"/>
    <mergeCell ref="O3:O4"/>
    <mergeCell ref="B20:E20"/>
    <mergeCell ref="F20:L20"/>
    <mergeCell ref="B15:J15"/>
    <mergeCell ref="B9:J9"/>
    <mergeCell ref="Q32:Q33"/>
    <mergeCell ref="O9:O10"/>
    <mergeCell ref="Q17:Q18"/>
    <mergeCell ref="N15:N16"/>
    <mergeCell ref="O15:O16"/>
    <mergeCell ref="K17:M17"/>
    <mergeCell ref="N9:N10"/>
    <mergeCell ref="K15:M16"/>
    <mergeCell ref="Q34:Q35"/>
    <mergeCell ref="Q5:Q6"/>
    <mergeCell ref="Q7:Q8"/>
    <mergeCell ref="M20:M21"/>
    <mergeCell ref="K18:M18"/>
    <mergeCell ref="K11:M11"/>
    <mergeCell ref="K12:M12"/>
    <mergeCell ref="Q26:Q27"/>
    <mergeCell ref="Q28:Q29"/>
    <mergeCell ref="P15:P16"/>
    <mergeCell ref="Q15:Q16"/>
    <mergeCell ref="P9:P10"/>
    <mergeCell ref="K9:M10"/>
    <mergeCell ref="Q11:Q12"/>
    <mergeCell ref="Q9:Q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C0B9-503F-4149-AB10-4E9721056CFE}">
  <dimension ref="A1:X11"/>
  <sheetViews>
    <sheetView workbookViewId="0">
      <selection activeCell="L40" sqref="L40"/>
    </sheetView>
  </sheetViews>
  <sheetFormatPr defaultColWidth="11.42578125" defaultRowHeight="15" x14ac:dyDescent="0.25"/>
  <sheetData>
    <row r="1" spans="1:24" s="11" customFormat="1" ht="17.25" customHeight="1" x14ac:dyDescent="0.25">
      <c r="A1" s="299" t="s">
        <v>43</v>
      </c>
      <c r="B1" s="299" t="s">
        <v>2</v>
      </c>
      <c r="C1" s="299"/>
      <c r="D1" s="299" t="s">
        <v>44</v>
      </c>
      <c r="E1" s="299" t="s">
        <v>45</v>
      </c>
      <c r="F1" s="299" t="s">
        <v>46</v>
      </c>
      <c r="G1" s="299" t="s">
        <v>47</v>
      </c>
      <c r="H1" s="299" t="s">
        <v>48</v>
      </c>
      <c r="I1" s="299" t="s">
        <v>49</v>
      </c>
      <c r="J1" s="299" t="s">
        <v>50</v>
      </c>
      <c r="K1" s="299" t="s">
        <v>51</v>
      </c>
      <c r="L1" s="299" t="s">
        <v>52</v>
      </c>
      <c r="M1" s="299" t="s">
        <v>53</v>
      </c>
      <c r="N1" s="299" t="s">
        <v>54</v>
      </c>
      <c r="O1" s="299" t="s">
        <v>55</v>
      </c>
      <c r="P1" s="301" t="s">
        <v>56</v>
      </c>
      <c r="Q1" s="303" t="s">
        <v>5</v>
      </c>
      <c r="R1" s="303"/>
      <c r="S1" s="303"/>
      <c r="T1" s="303"/>
      <c r="U1" s="303"/>
      <c r="V1" s="303"/>
      <c r="W1" s="303"/>
      <c r="X1" s="303"/>
    </row>
    <row r="2" spans="1:24" s="11" customFormat="1" ht="32.1" customHeight="1" x14ac:dyDescent="0.25">
      <c r="A2" s="299"/>
      <c r="B2" s="209" t="s">
        <v>57</v>
      </c>
      <c r="C2" s="209" t="s">
        <v>58</v>
      </c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302"/>
      <c r="Q2" s="303"/>
      <c r="R2" s="303"/>
      <c r="S2" s="303"/>
      <c r="T2" s="303"/>
      <c r="U2" s="303"/>
      <c r="V2" s="303"/>
      <c r="W2" s="303"/>
      <c r="X2" s="303"/>
    </row>
    <row r="3" spans="1:24" s="10" customFormat="1" ht="14.25" x14ac:dyDescent="0.25">
      <c r="A3" s="15">
        <v>1</v>
      </c>
      <c r="B3" s="15">
        <v>1</v>
      </c>
      <c r="C3" s="15">
        <v>2</v>
      </c>
      <c r="D3" s="21" t="s">
        <v>39</v>
      </c>
      <c r="E3" s="28">
        <v>43584</v>
      </c>
      <c r="F3" s="21">
        <v>-13</v>
      </c>
      <c r="G3" s="16">
        <v>10</v>
      </c>
      <c r="H3" s="104">
        <f>PI()*((core_data!$K$4/1000)/2)^2</f>
        <v>1.1341149479459152E-3</v>
      </c>
      <c r="I3" s="192">
        <v>49.274999999999999</v>
      </c>
      <c r="J3" s="192" t="s">
        <v>59</v>
      </c>
      <c r="K3" s="193" t="s">
        <v>60</v>
      </c>
      <c r="L3" s="133"/>
      <c r="M3" s="193" t="s">
        <v>61</v>
      </c>
      <c r="N3" s="193" t="s">
        <v>62</v>
      </c>
      <c r="O3" s="21" t="s">
        <v>63</v>
      </c>
      <c r="P3" s="21"/>
      <c r="Q3" s="300" t="s">
        <v>64</v>
      </c>
      <c r="R3" s="300"/>
      <c r="S3" s="300"/>
      <c r="T3" s="300"/>
      <c r="U3" s="300"/>
      <c r="V3" s="300"/>
      <c r="W3" s="300"/>
      <c r="X3" s="300"/>
    </row>
    <row r="4" spans="1:24" s="10" customFormat="1" ht="14.25" x14ac:dyDescent="0.25">
      <c r="A4" s="15">
        <v>2</v>
      </c>
      <c r="B4" s="15" t="e">
        <f>M23/H23/1000000</f>
        <v>#DIV/0!</v>
      </c>
      <c r="C4" s="15">
        <v>4</v>
      </c>
      <c r="D4" s="21" t="s">
        <v>39</v>
      </c>
      <c r="E4" s="28">
        <v>43596</v>
      </c>
      <c r="F4" s="21">
        <v>-13</v>
      </c>
      <c r="G4" s="16">
        <v>10</v>
      </c>
      <c r="H4" s="104">
        <f>PI()*((core_data!$K$4/1000)/2)^2</f>
        <v>1.1341149479459152E-3</v>
      </c>
      <c r="I4" s="17">
        <v>49.174999999999997</v>
      </c>
      <c r="J4" s="17">
        <v>2.089</v>
      </c>
      <c r="K4" s="17">
        <v>51.24</v>
      </c>
      <c r="L4" s="189">
        <f t="shared" ref="L4:L10" si="0">J4/K4</f>
        <v>4.0768930523028879E-2</v>
      </c>
      <c r="M4" s="17">
        <f>K4*9.80665</f>
        <v>502.49274600000001</v>
      </c>
      <c r="N4" s="18">
        <f>M4/H4/1000000</f>
        <v>0.4430703844527436</v>
      </c>
      <c r="O4" s="18" t="s">
        <v>63</v>
      </c>
      <c r="P4" s="18"/>
      <c r="Q4" s="300" t="s">
        <v>65</v>
      </c>
      <c r="R4" s="300"/>
      <c r="S4" s="300"/>
      <c r="T4" s="300"/>
      <c r="U4" s="300"/>
      <c r="V4" s="300"/>
      <c r="W4" s="300"/>
      <c r="X4" s="300"/>
    </row>
    <row r="5" spans="1:24" s="10" customFormat="1" ht="14.25" x14ac:dyDescent="0.25">
      <c r="A5" s="15">
        <v>3</v>
      </c>
      <c r="B5" s="15">
        <v>1</v>
      </c>
      <c r="C5" s="15">
        <v>2</v>
      </c>
      <c r="D5" s="28">
        <v>43610</v>
      </c>
      <c r="E5" s="28">
        <v>43616</v>
      </c>
      <c r="F5" s="21">
        <v>-8</v>
      </c>
      <c r="G5" s="16">
        <v>10</v>
      </c>
      <c r="H5" s="104">
        <f>PI()*((core_data!$K$4/1000)/2)^2</f>
        <v>1.1341149479459152E-3</v>
      </c>
      <c r="I5" s="192">
        <v>49.250999999999998</v>
      </c>
      <c r="J5" s="192">
        <v>0</v>
      </c>
      <c r="K5" s="192" t="s">
        <v>66</v>
      </c>
      <c r="L5" s="133"/>
      <c r="M5" s="193" t="s">
        <v>67</v>
      </c>
      <c r="N5" s="193" t="s">
        <v>68</v>
      </c>
      <c r="O5" s="21" t="s">
        <v>69</v>
      </c>
      <c r="P5" s="21"/>
      <c r="Q5" s="300" t="s">
        <v>70</v>
      </c>
      <c r="R5" s="300"/>
      <c r="S5" s="300"/>
      <c r="T5" s="300"/>
      <c r="U5" s="300"/>
      <c r="V5" s="300"/>
      <c r="W5" s="300"/>
      <c r="X5" s="300"/>
    </row>
    <row r="6" spans="1:24" s="10" customFormat="1" ht="14.25" x14ac:dyDescent="0.25">
      <c r="A6" s="15">
        <v>4</v>
      </c>
      <c r="B6" s="15">
        <v>3</v>
      </c>
      <c r="C6" s="15">
        <v>4</v>
      </c>
      <c r="D6" s="28">
        <v>43610</v>
      </c>
      <c r="E6" s="28">
        <v>43616</v>
      </c>
      <c r="F6" s="21">
        <v>-11</v>
      </c>
      <c r="G6" s="16">
        <v>10</v>
      </c>
      <c r="H6" s="104">
        <f>PI()*((core_data!$K$4/1000)/2)^2</f>
        <v>1.1341149479459152E-3</v>
      </c>
      <c r="I6" s="192">
        <v>49.250999999999998</v>
      </c>
      <c r="J6" s="192">
        <v>0</v>
      </c>
      <c r="K6" s="192" t="s">
        <v>66</v>
      </c>
      <c r="L6" s="133"/>
      <c r="M6" s="193" t="s">
        <v>67</v>
      </c>
      <c r="N6" s="193" t="s">
        <v>68</v>
      </c>
      <c r="O6" s="21" t="s">
        <v>69</v>
      </c>
      <c r="P6" s="21"/>
      <c r="Q6" s="300" t="s">
        <v>70</v>
      </c>
      <c r="R6" s="300"/>
      <c r="S6" s="300"/>
      <c r="T6" s="300"/>
      <c r="U6" s="300"/>
      <c r="V6" s="300"/>
      <c r="W6" s="300"/>
      <c r="X6" s="300"/>
    </row>
    <row r="7" spans="1:24" s="10" customFormat="1" ht="14.25" x14ac:dyDescent="0.25">
      <c r="A7" s="15">
        <v>5</v>
      </c>
      <c r="B7" s="15">
        <v>3</v>
      </c>
      <c r="C7" s="15">
        <v>4</v>
      </c>
      <c r="D7" s="28">
        <v>43620</v>
      </c>
      <c r="E7" s="28">
        <v>43637</v>
      </c>
      <c r="F7" s="21">
        <v>-13</v>
      </c>
      <c r="G7" s="16">
        <v>10</v>
      </c>
      <c r="H7" s="104">
        <f>PI()*((core_data!$K$4/1000)/2)^2</f>
        <v>1.1341149479459152E-3</v>
      </c>
      <c r="I7" s="192">
        <v>44.935000000000002</v>
      </c>
      <c r="J7" s="192">
        <v>0</v>
      </c>
      <c r="K7" s="194" t="s">
        <v>71</v>
      </c>
      <c r="L7" s="133"/>
      <c r="M7" s="195" t="s">
        <v>72</v>
      </c>
      <c r="N7" s="196" t="s">
        <v>73</v>
      </c>
      <c r="O7" s="21" t="s">
        <v>69</v>
      </c>
      <c r="P7" s="21"/>
      <c r="Q7" s="300" t="s">
        <v>74</v>
      </c>
      <c r="R7" s="300"/>
      <c r="S7" s="300"/>
      <c r="T7" s="300"/>
      <c r="U7" s="300"/>
      <c r="V7" s="300"/>
      <c r="W7" s="300"/>
      <c r="X7" s="300"/>
    </row>
    <row r="8" spans="1:24" s="10" customFormat="1" ht="14.25" x14ac:dyDescent="0.25">
      <c r="A8" s="15">
        <v>6</v>
      </c>
      <c r="B8" s="15">
        <v>1</v>
      </c>
      <c r="C8" s="15">
        <v>2</v>
      </c>
      <c r="D8" s="28">
        <v>43619</v>
      </c>
      <c r="E8" s="28">
        <v>43637</v>
      </c>
      <c r="F8" s="21">
        <v>-13</v>
      </c>
      <c r="G8" s="16">
        <v>10</v>
      </c>
      <c r="H8" s="104">
        <f>PI()*((core_data!$K$4/1000)/2)^2</f>
        <v>1.1341149479459152E-3</v>
      </c>
      <c r="I8" s="17">
        <f>SUM(mass!C2:F2,mass!K2,mass!L2,mass!M2,mass!O2)</f>
        <v>0</v>
      </c>
      <c r="J8" s="17">
        <f>1.847-mass!O2</f>
        <v>1.847</v>
      </c>
      <c r="K8" s="24">
        <f>J8+I8</f>
        <v>1.847</v>
      </c>
      <c r="L8" s="189">
        <f t="shared" si="0"/>
        <v>1</v>
      </c>
      <c r="M8" s="20">
        <f>K8*9.80665</f>
        <v>18.112882549999998</v>
      </c>
      <c r="N8" s="23">
        <f>M8/H8/1000000</f>
        <v>1.5970940672994094E-2</v>
      </c>
      <c r="O8" s="21" t="s">
        <v>69</v>
      </c>
      <c r="P8" s="21"/>
      <c r="Q8" s="300" t="s">
        <v>75</v>
      </c>
      <c r="R8" s="300"/>
      <c r="S8" s="300"/>
      <c r="T8" s="300"/>
      <c r="U8" s="300"/>
      <c r="V8" s="300"/>
      <c r="W8" s="300"/>
      <c r="X8" s="300"/>
    </row>
    <row r="9" spans="1:24" s="10" customFormat="1" ht="14.25" x14ac:dyDescent="0.25">
      <c r="A9" s="15">
        <v>7</v>
      </c>
      <c r="B9" s="15" t="s">
        <v>15</v>
      </c>
      <c r="C9" s="15" t="s">
        <v>18</v>
      </c>
      <c r="D9" s="28">
        <v>43660</v>
      </c>
      <c r="E9" s="28">
        <v>43663</v>
      </c>
      <c r="F9" s="21">
        <v>-18</v>
      </c>
      <c r="G9" s="16">
        <v>10</v>
      </c>
      <c r="H9" s="104">
        <f>PI()*((core_data!$K$4/1000)/2)^2</f>
        <v>1.1341149479459152E-3</v>
      </c>
      <c r="I9" s="17">
        <f>mass!$C$6+mass!$D$6+SUM(mass!$K$6:$O$6)</f>
        <v>22.565000000000001</v>
      </c>
      <c r="J9" s="17">
        <v>2.944</v>
      </c>
      <c r="K9" s="19">
        <f t="shared" ref="K9:L11" si="1">J9+I9</f>
        <v>25.509</v>
      </c>
      <c r="L9" s="189">
        <f t="shared" si="0"/>
        <v>0.11541024736367556</v>
      </c>
      <c r="M9" s="20">
        <f t="shared" ref="M9:M11" si="2">K9*9.80665</f>
        <v>250.15783485</v>
      </c>
      <c r="N9" s="23">
        <f>M9/H9/1000000</f>
        <v>0.22057537933265101</v>
      </c>
      <c r="O9" s="21" t="s">
        <v>76</v>
      </c>
      <c r="P9" s="21" t="s">
        <v>77</v>
      </c>
      <c r="Q9" s="300" t="s">
        <v>78</v>
      </c>
      <c r="R9" s="300"/>
      <c r="S9" s="300"/>
      <c r="T9" s="300"/>
      <c r="U9" s="300"/>
      <c r="V9" s="300"/>
      <c r="W9" s="300"/>
      <c r="X9" s="300"/>
    </row>
    <row r="10" spans="1:24" s="10" customFormat="1" ht="14.25" x14ac:dyDescent="0.25">
      <c r="A10" s="30">
        <v>8</v>
      </c>
      <c r="B10" s="30" t="s">
        <v>13</v>
      </c>
      <c r="C10" s="30" t="s">
        <v>17</v>
      </c>
      <c r="D10" s="28">
        <v>43660</v>
      </c>
      <c r="E10" s="28">
        <v>43663</v>
      </c>
      <c r="F10" s="21">
        <v>-18</v>
      </c>
      <c r="G10" s="16">
        <f>10.08</f>
        <v>10.08</v>
      </c>
      <c r="H10" s="104">
        <f>PI()*((core_data!$K$4/1000)/2)^2</f>
        <v>1.1341149479459152E-3</v>
      </c>
      <c r="I10" s="17">
        <f>mass!$C$6+mass!$D$6+SUM(mass!$K$6:$O$6)+mass!I2+mass!J2</f>
        <v>22.565000000000001</v>
      </c>
      <c r="J10" s="17">
        <f>3.125+2.72</f>
        <v>5.8450000000000006</v>
      </c>
      <c r="K10" s="19">
        <f t="shared" si="1"/>
        <v>28.410000000000004</v>
      </c>
      <c r="L10" s="189">
        <f t="shared" si="0"/>
        <v>0.20573741640267512</v>
      </c>
      <c r="M10" s="20">
        <f t="shared" si="2"/>
        <v>278.60692650000004</v>
      </c>
      <c r="N10" s="23">
        <f>M10/H10/1000000</f>
        <v>0.24566021901448964</v>
      </c>
      <c r="O10" s="21" t="s">
        <v>76</v>
      </c>
      <c r="P10" s="21" t="s">
        <v>77</v>
      </c>
      <c r="Q10" s="300" t="s">
        <v>78</v>
      </c>
      <c r="R10" s="300"/>
      <c r="S10" s="300"/>
      <c r="T10" s="300"/>
      <c r="U10" s="300"/>
      <c r="V10" s="300"/>
      <c r="W10" s="300"/>
      <c r="X10" s="300"/>
    </row>
    <row r="11" spans="1:24" s="29" customFormat="1" ht="6" customHeight="1" x14ac:dyDescent="0.25">
      <c r="A11" s="84"/>
      <c r="B11" s="84"/>
      <c r="C11" s="84"/>
      <c r="D11" s="93"/>
      <c r="E11" s="85"/>
      <c r="F11" s="86"/>
      <c r="G11" s="87"/>
      <c r="H11" s="88"/>
      <c r="I11" s="89"/>
      <c r="J11" s="89"/>
      <c r="K11" s="90">
        <f t="shared" si="1"/>
        <v>0</v>
      </c>
      <c r="L11" s="90">
        <f t="shared" si="1"/>
        <v>0</v>
      </c>
      <c r="M11" s="91">
        <f t="shared" si="2"/>
        <v>0</v>
      </c>
      <c r="N11" s="92"/>
      <c r="O11" s="86"/>
      <c r="P11" s="86"/>
      <c r="Q11" s="304"/>
      <c r="R11" s="304"/>
      <c r="S11" s="304"/>
      <c r="T11" s="304"/>
      <c r="U11" s="304"/>
      <c r="V11" s="304"/>
      <c r="W11" s="304"/>
      <c r="X11" s="304"/>
    </row>
  </sheetData>
  <mergeCells count="25">
    <mergeCell ref="Q11:X11"/>
    <mergeCell ref="Q5:X5"/>
    <mergeCell ref="Q6:X6"/>
    <mergeCell ref="Q7:X7"/>
    <mergeCell ref="Q8:X8"/>
    <mergeCell ref="Q9:X9"/>
    <mergeCell ref="Q10:X10"/>
    <mergeCell ref="Q4:X4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X2"/>
    <mergeCell ref="Q3:X3"/>
    <mergeCell ref="G1:G2"/>
    <mergeCell ref="A1:A2"/>
    <mergeCell ref="B1:C1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EAEE-501E-4FB9-A865-44B1ED505DEE}">
  <dimension ref="A1:J13"/>
  <sheetViews>
    <sheetView zoomScale="85" zoomScaleNormal="85" workbookViewId="0">
      <selection activeCell="C2" sqref="C2"/>
    </sheetView>
  </sheetViews>
  <sheetFormatPr defaultColWidth="8.85546875" defaultRowHeight="15" x14ac:dyDescent="0.25"/>
  <cols>
    <col min="2" max="2" width="74.42578125" customWidth="1"/>
    <col min="10" max="10" width="58.28515625" customWidth="1"/>
  </cols>
  <sheetData>
    <row r="1" spans="1:10" x14ac:dyDescent="0.25">
      <c r="A1" s="1" t="s">
        <v>40</v>
      </c>
      <c r="B1" s="1"/>
      <c r="C1" s="1">
        <f>COUNT(test_data_ottawa!R2:R98)</f>
        <v>64</v>
      </c>
      <c r="D1" s="1"/>
    </row>
    <row r="2" spans="1:10" x14ac:dyDescent="0.25">
      <c r="A2" s="1" t="s">
        <v>41</v>
      </c>
      <c r="B2" s="1"/>
      <c r="C2" s="187">
        <f>500/9.35/1000*9.81</f>
        <v>0.52459893048128348</v>
      </c>
      <c r="D2" s="1" t="s">
        <v>42</v>
      </c>
    </row>
    <row r="3" spans="1:10" x14ac:dyDescent="0.25">
      <c r="A3" s="1"/>
      <c r="B3" s="1"/>
      <c r="C3" s="187">
        <f>500/9.35/1000*9.81</f>
        <v>0.52459893048128348</v>
      </c>
      <c r="D3" s="1" t="s">
        <v>42</v>
      </c>
    </row>
    <row r="4" spans="1:10" x14ac:dyDescent="0.25">
      <c r="A4" s="1"/>
      <c r="B4" s="1"/>
      <c r="C4" s="187"/>
      <c r="D4" s="1"/>
    </row>
    <row r="5" spans="1:10" x14ac:dyDescent="0.25">
      <c r="E5" s="223"/>
      <c r="F5" s="223"/>
      <c r="G5" s="223"/>
      <c r="H5" s="223"/>
      <c r="I5" s="223"/>
      <c r="J5" s="223"/>
    </row>
    <row r="6" spans="1:10" x14ac:dyDescent="0.25">
      <c r="A6" s="305" t="s">
        <v>174</v>
      </c>
      <c r="B6" s="306" t="s">
        <v>175</v>
      </c>
      <c r="C6" s="308" t="s">
        <v>5</v>
      </c>
      <c r="D6" s="309"/>
      <c r="E6" s="309"/>
      <c r="F6" s="309"/>
      <c r="G6" s="309"/>
      <c r="H6" s="309"/>
      <c r="I6" s="309"/>
      <c r="J6" s="310"/>
    </row>
    <row r="7" spans="1:10" x14ac:dyDescent="0.25">
      <c r="A7" s="305"/>
      <c r="B7" s="307"/>
      <c r="C7" s="311"/>
      <c r="D7" s="312"/>
      <c r="E7" s="312"/>
      <c r="F7" s="312"/>
      <c r="G7" s="312"/>
      <c r="H7" s="312"/>
      <c r="I7" s="312"/>
      <c r="J7" s="313"/>
    </row>
    <row r="8" spans="1:10" x14ac:dyDescent="0.25">
      <c r="A8" s="22" t="e">
        <f>test_data_ottawa!#REF!</f>
        <v>#REF!</v>
      </c>
      <c r="B8" s="22" t="s">
        <v>176</v>
      </c>
      <c r="C8" s="223" t="s">
        <v>64</v>
      </c>
      <c r="D8" s="223"/>
      <c r="E8" s="223"/>
      <c r="F8" s="223"/>
      <c r="G8" s="223"/>
      <c r="H8" s="223"/>
      <c r="I8" s="223"/>
      <c r="J8" s="223"/>
    </row>
    <row r="9" spans="1:10" x14ac:dyDescent="0.25">
      <c r="A9" s="22" t="e">
        <f>test_data_ottawa!#REF!</f>
        <v>#REF!</v>
      </c>
      <c r="B9" s="22"/>
      <c r="C9" s="223" t="s">
        <v>65</v>
      </c>
      <c r="D9" s="223"/>
      <c r="E9" s="223"/>
      <c r="F9" s="223"/>
      <c r="G9" s="223"/>
      <c r="H9" s="223"/>
      <c r="I9" s="223"/>
      <c r="J9" s="223"/>
    </row>
    <row r="10" spans="1:10" x14ac:dyDescent="0.25">
      <c r="A10" s="22" t="e">
        <f>test_data_ottawa!#REF!</f>
        <v>#REF!</v>
      </c>
      <c r="B10" s="22" t="s">
        <v>177</v>
      </c>
      <c r="C10" s="223" t="s">
        <v>178</v>
      </c>
      <c r="D10" s="223"/>
    </row>
    <row r="11" spans="1:10" x14ac:dyDescent="0.25">
      <c r="A11" s="22" t="e">
        <f>test_data_ottawa!#REF!</f>
        <v>#REF!</v>
      </c>
      <c r="B11" s="22" t="s">
        <v>177</v>
      </c>
      <c r="C11" s="223" t="s">
        <v>178</v>
      </c>
      <c r="D11" s="223"/>
    </row>
    <row r="12" spans="1:10" x14ac:dyDescent="0.25">
      <c r="A12" s="22" t="e">
        <f>test_data_ottawa!#REF!</f>
        <v>#REF!</v>
      </c>
      <c r="B12" s="22" t="s">
        <v>179</v>
      </c>
      <c r="C12" s="223" t="s">
        <v>180</v>
      </c>
      <c r="D12" s="223"/>
    </row>
    <row r="13" spans="1:10" x14ac:dyDescent="0.25">
      <c r="A13" s="22" t="e">
        <f>test_data_ottawa!#REF!</f>
        <v>#REF!</v>
      </c>
      <c r="B13" s="22" t="s">
        <v>179</v>
      </c>
      <c r="C13" s="223" t="s">
        <v>181</v>
      </c>
      <c r="D13" s="223"/>
    </row>
  </sheetData>
  <mergeCells count="3">
    <mergeCell ref="A6:A7"/>
    <mergeCell ref="B6:B7"/>
    <mergeCell ref="C6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7FE1-2504-3B45-A6B9-C3D0393A9FE6}">
  <dimension ref="B9"/>
  <sheetViews>
    <sheetView workbookViewId="0">
      <selection activeCell="O27" sqref="O27"/>
    </sheetView>
  </sheetViews>
  <sheetFormatPr defaultColWidth="11.42578125" defaultRowHeight="15" x14ac:dyDescent="0.25"/>
  <sheetData>
    <row r="9" spans="2:2" x14ac:dyDescent="0.25">
      <c r="B9">
        <f>1/60</f>
        <v>1.6666666666666666E-2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1941-2FFB-FA46-8F41-68804C35431E}">
  <dimension ref="A2:H26"/>
  <sheetViews>
    <sheetView workbookViewId="0">
      <selection activeCell="A22" sqref="A22"/>
    </sheetView>
  </sheetViews>
  <sheetFormatPr defaultColWidth="11.42578125" defaultRowHeight="15" x14ac:dyDescent="0.25"/>
  <cols>
    <col min="5" max="5" width="16.28515625" customWidth="1"/>
    <col min="7" max="7" width="16.42578125" bestFit="1" customWidth="1"/>
    <col min="8" max="8" width="16" customWidth="1"/>
  </cols>
  <sheetData>
    <row r="2" spans="1:8" x14ac:dyDescent="0.25">
      <c r="A2" t="s">
        <v>182</v>
      </c>
      <c r="B2" s="203">
        <f>AVERAGE(B12:B21)</f>
        <v>4.2018000000000004</v>
      </c>
    </row>
    <row r="3" spans="1:8" x14ac:dyDescent="0.25">
      <c r="A3" t="s">
        <v>183</v>
      </c>
      <c r="B3" s="202">
        <f>_xlfn.STDEV.P(B12:B21)</f>
        <v>0.3352112169960903</v>
      </c>
    </row>
    <row r="4" spans="1:8" x14ac:dyDescent="0.25">
      <c r="A4" t="s">
        <v>184</v>
      </c>
      <c r="B4" s="202">
        <f>AVERAGE(D11:D21)</f>
        <v>7.2700000000000004E-3</v>
      </c>
    </row>
    <row r="5" spans="1:8" x14ac:dyDescent="0.25">
      <c r="B5" s="202"/>
    </row>
    <row r="7" spans="1:8" ht="30" x14ac:dyDescent="0.25">
      <c r="A7" s="205" t="s">
        <v>185</v>
      </c>
      <c r="B7" s="205" t="s">
        <v>186</v>
      </c>
      <c r="C7" s="205" t="s">
        <v>187</v>
      </c>
      <c r="D7" s="205" t="s">
        <v>188</v>
      </c>
      <c r="E7" s="205" t="s">
        <v>189</v>
      </c>
      <c r="F7" s="206" t="s">
        <v>190</v>
      </c>
      <c r="G7" s="205" t="s">
        <v>191</v>
      </c>
      <c r="H7" s="206" t="s">
        <v>192</v>
      </c>
    </row>
    <row r="8" spans="1:8" x14ac:dyDescent="0.25">
      <c r="A8">
        <v>1</v>
      </c>
      <c r="B8" s="204">
        <v>2.7080000000000002</v>
      </c>
      <c r="C8" s="199">
        <v>22.38</v>
      </c>
      <c r="D8" s="199">
        <v>3.3099999999999997E-2</v>
      </c>
      <c r="E8" s="200" t="s">
        <v>193</v>
      </c>
      <c r="F8" s="199" t="s">
        <v>194</v>
      </c>
      <c r="G8" s="199" t="s">
        <v>195</v>
      </c>
      <c r="H8" s="199" t="s">
        <v>196</v>
      </c>
    </row>
    <row r="9" spans="1:8" x14ac:dyDescent="0.25">
      <c r="A9">
        <v>2</v>
      </c>
      <c r="B9" s="204">
        <v>2.7360000000000002</v>
      </c>
      <c r="C9" s="199">
        <v>22.41</v>
      </c>
      <c r="D9" s="199">
        <v>2.5600000000000001E-2</v>
      </c>
      <c r="E9" s="200" t="s">
        <v>197</v>
      </c>
      <c r="F9" s="199" t="s">
        <v>194</v>
      </c>
      <c r="G9" s="199" t="s">
        <v>195</v>
      </c>
      <c r="H9" s="199" t="s">
        <v>196</v>
      </c>
    </row>
    <row r="10" spans="1:8" x14ac:dyDescent="0.25">
      <c r="A10">
        <v>3</v>
      </c>
      <c r="B10" s="204">
        <v>0.40200000000000002</v>
      </c>
      <c r="C10" s="199">
        <v>23.16</v>
      </c>
      <c r="D10" s="199">
        <v>3.8E-3</v>
      </c>
      <c r="E10" s="200" t="s">
        <v>198</v>
      </c>
      <c r="F10" s="199" t="s">
        <v>194</v>
      </c>
      <c r="G10" s="199" t="s">
        <v>199</v>
      </c>
      <c r="H10" s="199"/>
    </row>
    <row r="11" spans="1:8" x14ac:dyDescent="0.25">
      <c r="A11">
        <v>4</v>
      </c>
      <c r="B11" s="204">
        <v>4.5609999999999999</v>
      </c>
      <c r="C11" s="199">
        <v>22.79</v>
      </c>
      <c r="D11" s="199" t="s">
        <v>200</v>
      </c>
      <c r="E11" s="200" t="s">
        <v>201</v>
      </c>
      <c r="F11" s="199" t="s">
        <v>202</v>
      </c>
      <c r="G11" s="199" t="s">
        <v>195</v>
      </c>
      <c r="H11" s="199" t="s">
        <v>196</v>
      </c>
    </row>
    <row r="12" spans="1:8" x14ac:dyDescent="0.25">
      <c r="A12">
        <v>5</v>
      </c>
      <c r="B12" s="204">
        <v>4.6449999999999996</v>
      </c>
      <c r="C12" s="199">
        <v>22.74</v>
      </c>
      <c r="D12" s="199">
        <v>2.3E-3</v>
      </c>
      <c r="E12" s="200" t="s">
        <v>203</v>
      </c>
      <c r="F12" s="199" t="s">
        <v>202</v>
      </c>
      <c r="G12" s="199" t="s">
        <v>195</v>
      </c>
      <c r="H12" s="199" t="s">
        <v>196</v>
      </c>
    </row>
    <row r="13" spans="1:8" x14ac:dyDescent="0.25">
      <c r="A13">
        <v>6</v>
      </c>
      <c r="B13" s="204">
        <v>4.67</v>
      </c>
      <c r="C13" s="199">
        <v>22.71</v>
      </c>
      <c r="D13" s="199">
        <v>2.2000000000000001E-3</v>
      </c>
      <c r="E13" s="200" t="s">
        <v>204</v>
      </c>
      <c r="F13" s="199" t="s">
        <v>202</v>
      </c>
      <c r="G13" s="199" t="s">
        <v>195</v>
      </c>
      <c r="H13" s="199" t="s">
        <v>196</v>
      </c>
    </row>
    <row r="14" spans="1:8" x14ac:dyDescent="0.25">
      <c r="A14">
        <v>7</v>
      </c>
      <c r="B14" s="204">
        <v>4.5199999999999996</v>
      </c>
      <c r="C14" s="199">
        <v>22.93</v>
      </c>
      <c r="D14" s="199">
        <v>6.3E-3</v>
      </c>
      <c r="E14" s="200" t="s">
        <v>205</v>
      </c>
      <c r="F14" s="199" t="s">
        <v>202</v>
      </c>
      <c r="G14" s="199" t="s">
        <v>195</v>
      </c>
      <c r="H14" s="199" t="s">
        <v>206</v>
      </c>
    </row>
    <row r="15" spans="1:8" x14ac:dyDescent="0.25">
      <c r="A15">
        <v>8</v>
      </c>
      <c r="B15" s="204">
        <v>4.25</v>
      </c>
      <c r="C15" s="199">
        <v>23.89</v>
      </c>
      <c r="D15" s="199">
        <v>8.9999999999999993E-3</v>
      </c>
      <c r="E15" s="200">
        <v>43780.416666666664</v>
      </c>
      <c r="F15" s="199" t="s">
        <v>202</v>
      </c>
      <c r="G15" s="199" t="s">
        <v>195</v>
      </c>
      <c r="H15" s="199" t="s">
        <v>206</v>
      </c>
    </row>
    <row r="16" spans="1:8" x14ac:dyDescent="0.25">
      <c r="A16">
        <v>9</v>
      </c>
      <c r="B16" s="204">
        <v>4.4630000000000001</v>
      </c>
      <c r="C16" s="199">
        <v>24.23</v>
      </c>
      <c r="D16" s="199">
        <v>4.5999999999999999E-3</v>
      </c>
      <c r="E16" s="200">
        <v>43780.440972222219</v>
      </c>
      <c r="F16" s="199" t="s">
        <v>202</v>
      </c>
      <c r="G16" s="199" t="s">
        <v>195</v>
      </c>
      <c r="H16" s="199" t="s">
        <v>206</v>
      </c>
    </row>
    <row r="17" spans="1:8" x14ac:dyDescent="0.25">
      <c r="A17">
        <v>10</v>
      </c>
      <c r="B17" s="204">
        <v>4.0090000000000003</v>
      </c>
      <c r="C17" s="199">
        <v>24.53</v>
      </c>
      <c r="D17" s="199">
        <v>4.7999999999999996E-3</v>
      </c>
      <c r="E17" s="200">
        <v>43780.454861111109</v>
      </c>
      <c r="F17" s="199" t="s">
        <v>202</v>
      </c>
      <c r="G17" s="199" t="s">
        <v>195</v>
      </c>
      <c r="H17" s="199" t="s">
        <v>207</v>
      </c>
    </row>
    <row r="18" spans="1:8" x14ac:dyDescent="0.25">
      <c r="A18">
        <v>11</v>
      </c>
      <c r="B18" s="199">
        <v>3.9289999999999998</v>
      </c>
      <c r="C18" s="199">
        <v>24.72</v>
      </c>
      <c r="D18" s="199">
        <v>4.1999999999999997E-3</v>
      </c>
      <c r="E18" s="200">
        <v>43780.465277777781</v>
      </c>
      <c r="F18" s="199" t="s">
        <v>202</v>
      </c>
      <c r="G18" s="199" t="s">
        <v>195</v>
      </c>
      <c r="H18" s="199" t="s">
        <v>207</v>
      </c>
    </row>
    <row r="19" spans="1:8" x14ac:dyDescent="0.25">
      <c r="A19">
        <v>12</v>
      </c>
      <c r="B19" s="199">
        <v>3.7170000000000001</v>
      </c>
      <c r="C19" s="199">
        <v>24.97</v>
      </c>
      <c r="D19" s="199">
        <v>9.1999999999999998E-3</v>
      </c>
      <c r="E19" s="200">
        <v>43780.565972222219</v>
      </c>
      <c r="F19" s="199" t="s">
        <v>202</v>
      </c>
      <c r="G19" s="199" t="s">
        <v>195</v>
      </c>
      <c r="H19" s="199" t="s">
        <v>207</v>
      </c>
    </row>
    <row r="20" spans="1:8" x14ac:dyDescent="0.25">
      <c r="A20">
        <v>13</v>
      </c>
      <c r="B20" s="199">
        <v>3.8170000000000002</v>
      </c>
      <c r="C20" s="199">
        <v>24.28</v>
      </c>
      <c r="D20" s="199">
        <v>1.8100000000000002E-2</v>
      </c>
      <c r="E20" s="200" t="s">
        <v>208</v>
      </c>
      <c r="F20" s="199" t="s">
        <v>202</v>
      </c>
      <c r="G20" s="199" t="s">
        <v>195</v>
      </c>
      <c r="H20" s="199" t="s">
        <v>196</v>
      </c>
    </row>
    <row r="21" spans="1:8" x14ac:dyDescent="0.25">
      <c r="A21">
        <v>14</v>
      </c>
      <c r="B21" s="199">
        <v>3.9980000000000002</v>
      </c>
      <c r="C21" s="199">
        <v>24.35</v>
      </c>
      <c r="D21" s="199">
        <v>1.2E-2</v>
      </c>
      <c r="E21" s="200" t="s">
        <v>209</v>
      </c>
      <c r="F21" s="199" t="s">
        <v>202</v>
      </c>
      <c r="G21" s="199" t="s">
        <v>195</v>
      </c>
      <c r="H21" s="199" t="s">
        <v>196</v>
      </c>
    </row>
    <row r="22" spans="1:8" x14ac:dyDescent="0.25">
      <c r="B22" s="199"/>
      <c r="C22" s="199"/>
      <c r="D22" s="199"/>
      <c r="E22" s="199"/>
      <c r="F22" s="199"/>
      <c r="G22" s="199"/>
      <c r="H22" s="199"/>
    </row>
    <row r="23" spans="1:8" x14ac:dyDescent="0.25">
      <c r="B23" s="199"/>
      <c r="C23" s="199"/>
      <c r="D23" s="199"/>
      <c r="E23" s="199"/>
      <c r="F23" s="199"/>
      <c r="G23" s="199"/>
      <c r="H23" s="199"/>
    </row>
    <row r="24" spans="1:8" x14ac:dyDescent="0.25">
      <c r="B24" s="199"/>
      <c r="C24" s="199"/>
      <c r="D24" s="199"/>
      <c r="E24" s="199"/>
      <c r="F24" s="199"/>
      <c r="G24" s="199"/>
      <c r="H24" s="199"/>
    </row>
    <row r="25" spans="1:8" x14ac:dyDescent="0.25">
      <c r="B25" s="199"/>
      <c r="C25" s="199"/>
      <c r="D25" s="199"/>
      <c r="E25" s="199"/>
      <c r="F25" s="199"/>
      <c r="G25" s="199"/>
      <c r="H25" s="199"/>
    </row>
    <row r="26" spans="1:8" x14ac:dyDescent="0.25">
      <c r="B26" s="199"/>
      <c r="C26" s="199"/>
      <c r="D26" s="199"/>
      <c r="E26" s="199"/>
      <c r="F26" s="199"/>
      <c r="G26" s="199"/>
      <c r="H26" s="19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core_data</vt:lpstr>
      <vt:lpstr>test_data_ottawa</vt:lpstr>
      <vt:lpstr>mass</vt:lpstr>
      <vt:lpstr>test_data_prelim</vt:lpstr>
      <vt:lpstr>notes</vt:lpstr>
      <vt:lpstr>cooling calculations</vt:lpstr>
      <vt:lpstr>thermalConductivity</vt:lpstr>
      <vt:lpstr>strength v 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cp:lastPrinted>2019-11-14T20:40:16Z</cp:lastPrinted>
  <dcterms:created xsi:type="dcterms:W3CDTF">2015-06-05T18:17:20Z</dcterms:created>
  <dcterms:modified xsi:type="dcterms:W3CDTF">2020-02-20T03:09:35Z</dcterms:modified>
  <cp:category/>
  <cp:contentStatus/>
</cp:coreProperties>
</file>