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16665" windowHeight="12330"/>
  </bookViews>
  <sheets>
    <sheet name="Лист1" sheetId="1" r:id="rId1"/>
  </sheets>
  <definedNames>
    <definedName name="_xlnm._FilterDatabase" localSheetId="0" hidden="1">Лист1!$B$2:$B$750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E330" i="1" l="1"/>
  <c r="E311" i="1"/>
  <c r="E272" i="1"/>
  <c r="E258" i="1"/>
  <c r="E244" i="1"/>
  <c r="E222" i="1"/>
  <c r="E180" i="1"/>
  <c r="E159" i="1"/>
  <c r="E135" i="1"/>
  <c r="E115" i="1"/>
  <c r="E83" i="1"/>
  <c r="E65" i="1"/>
  <c r="E48" i="1"/>
  <c r="E39" i="1"/>
  <c r="E283" i="1"/>
  <c r="E255" i="1"/>
  <c r="E219" i="1"/>
  <c r="E155" i="1"/>
  <c r="E131" i="1"/>
  <c r="E102" i="1"/>
  <c r="E98" i="1"/>
  <c r="E94" i="1"/>
  <c r="E80" i="1"/>
  <c r="E76" i="1"/>
  <c r="E59" i="1"/>
  <c r="E35" i="1"/>
  <c r="E22" i="1"/>
  <c r="E18" i="1"/>
  <c r="E15" i="1"/>
  <c r="D496" i="1"/>
  <c r="D479" i="1"/>
  <c r="D465" i="1"/>
  <c r="D439" i="1"/>
  <c r="D422" i="1"/>
  <c r="D405" i="1"/>
  <c r="D388" i="1"/>
  <c r="D376" i="1"/>
  <c r="D351" i="1"/>
  <c r="D339" i="1"/>
  <c r="D320" i="1"/>
  <c r="D301" i="1"/>
  <c r="D294" i="1"/>
  <c r="D698" i="1"/>
  <c r="D690" i="1"/>
  <c r="D597" i="1"/>
  <c r="D586" i="1"/>
  <c r="D566" i="1"/>
  <c r="D552" i="1"/>
  <c r="D544" i="1"/>
  <c r="D536" i="1"/>
  <c r="D528" i="1"/>
  <c r="D453" i="1"/>
  <c r="D326" i="1"/>
  <c r="D307" i="1"/>
  <c r="G698" i="1"/>
  <c r="G690" i="1"/>
  <c r="G682" i="1"/>
  <c r="G664" i="1"/>
  <c r="G648" i="1"/>
  <c r="G632" i="1"/>
  <c r="G615" i="1"/>
  <c r="G597" i="1"/>
  <c r="G586" i="1"/>
  <c r="G566" i="1"/>
  <c r="G552" i="1"/>
  <c r="G544" i="1"/>
  <c r="G536" i="1"/>
  <c r="G528" i="1"/>
  <c r="G502" i="1"/>
  <c r="G485" i="1"/>
  <c r="G471" i="1"/>
  <c r="G445" i="1"/>
  <c r="G411" i="1"/>
  <c r="G366" i="1"/>
  <c r="G307" i="1"/>
  <c r="G326" i="1"/>
  <c r="G678" i="1"/>
  <c r="G660" i="1"/>
  <c r="G644" i="1"/>
  <c r="G627" i="1"/>
  <c r="G611" i="1"/>
  <c r="G524" i="1"/>
  <c r="G515" i="1"/>
  <c r="G673" i="1"/>
  <c r="G656" i="1"/>
  <c r="G640" i="1"/>
  <c r="G623" i="1"/>
  <c r="G607" i="1"/>
  <c r="G520" i="1"/>
  <c r="G511" i="1"/>
  <c r="D192" i="1"/>
  <c r="D174" i="1"/>
  <c r="D151" i="1"/>
  <c r="D127" i="1"/>
  <c r="D109" i="1"/>
  <c r="D107" i="1"/>
  <c r="D241" i="1"/>
  <c r="D215" i="1"/>
  <c r="D194" i="1"/>
  <c r="D176" i="1"/>
  <c r="D156" i="1"/>
  <c r="D132" i="1"/>
  <c r="D675" i="1"/>
  <c r="H675" i="1" s="1"/>
  <c r="H670" i="1" s="1"/>
  <c r="D674" i="1"/>
  <c r="H674" i="1" s="1"/>
  <c r="H669" i="1" s="1"/>
  <c r="D671" i="1"/>
  <c r="F670" i="1"/>
  <c r="D577" i="1"/>
  <c r="H577" i="1" s="1"/>
  <c r="D576" i="1"/>
  <c r="H576" i="1" s="1"/>
  <c r="D567" i="1"/>
  <c r="H567" i="1" s="1"/>
  <c r="H579" i="1"/>
  <c r="D454" i="1"/>
  <c r="H454" i="1" s="1"/>
  <c r="D295" i="1"/>
  <c r="D679" i="1" l="1"/>
  <c r="D682" i="1" s="1"/>
  <c r="D678" i="1"/>
  <c r="H678" i="1" s="1"/>
  <c r="D676" i="1"/>
  <c r="D672" i="1"/>
  <c r="D683" i="1"/>
  <c r="D677" i="1"/>
  <c r="D673" i="1"/>
  <c r="H673" i="1" s="1"/>
  <c r="G669" i="1"/>
  <c r="D292" i="1"/>
  <c r="H292" i="1" s="1"/>
  <c r="H294" i="1"/>
  <c r="D256" i="1"/>
  <c r="H256" i="1" s="1"/>
  <c r="D270" i="1"/>
  <c r="H270" i="1" s="1"/>
  <c r="D284" i="1"/>
  <c r="H284" i="1" s="1"/>
  <c r="D220" i="1"/>
  <c r="H220" i="1" s="1"/>
  <c r="D209" i="1"/>
  <c r="H209" i="1" s="1"/>
  <c r="H197" i="1"/>
  <c r="H179" i="1"/>
  <c r="D103" i="1"/>
  <c r="D99" i="1"/>
  <c r="D95" i="1"/>
  <c r="H95" i="1" s="1"/>
  <c r="D77" i="1"/>
  <c r="H77" i="1" s="1"/>
  <c r="D81" i="1"/>
  <c r="H81" i="1" s="1"/>
  <c r="D60" i="1"/>
  <c r="H60" i="1" s="1"/>
  <c r="D37" i="1"/>
  <c r="H37" i="1" s="1"/>
  <c r="D24" i="1"/>
  <c r="H24" i="1" s="1"/>
  <c r="D19" i="1"/>
  <c r="H19" i="1" s="1"/>
  <c r="D16" i="1"/>
  <c r="H16" i="1" s="1"/>
  <c r="G700" i="1"/>
  <c r="G697" i="1"/>
  <c r="G696" i="1"/>
  <c r="G692" i="1"/>
  <c r="G689" i="1"/>
  <c r="G688" i="1"/>
  <c r="G684" i="1"/>
  <c r="G681" i="1"/>
  <c r="G680" i="1"/>
  <c r="G676" i="1"/>
  <c r="G677" i="1"/>
  <c r="G672" i="1"/>
  <c r="G666" i="1"/>
  <c r="G663" i="1"/>
  <c r="G662" i="1"/>
  <c r="G658" i="1"/>
  <c r="G659" i="1"/>
  <c r="G655" i="1"/>
  <c r="G650" i="1"/>
  <c r="G647" i="1"/>
  <c r="G646" i="1"/>
  <c r="G642" i="1"/>
  <c r="G643" i="1"/>
  <c r="G639" i="1"/>
  <c r="G634" i="1"/>
  <c r="G631" i="1"/>
  <c r="G630" i="1"/>
  <c r="G625" i="1"/>
  <c r="G626" i="1"/>
  <c r="G622" i="1"/>
  <c r="G617" i="1"/>
  <c r="G614" i="1"/>
  <c r="G613" i="1"/>
  <c r="G609" i="1"/>
  <c r="G610" i="1"/>
  <c r="G606" i="1"/>
  <c r="G602" i="1"/>
  <c r="G599" i="1"/>
  <c r="G596" i="1"/>
  <c r="G595" i="1"/>
  <c r="G591" i="1"/>
  <c r="G588" i="1"/>
  <c r="G585" i="1"/>
  <c r="G584" i="1"/>
  <c r="G575" i="1"/>
  <c r="G574" i="1"/>
  <c r="G573" i="1"/>
  <c r="G569" i="1"/>
  <c r="G565" i="1"/>
  <c r="G564" i="1"/>
  <c r="G562" i="1"/>
  <c r="G561" i="1"/>
  <c r="G557" i="1"/>
  <c r="G554" i="1"/>
  <c r="G551" i="1"/>
  <c r="G550" i="1"/>
  <c r="G546" i="1"/>
  <c r="G543" i="1"/>
  <c r="G542" i="1"/>
  <c r="G538" i="1"/>
  <c r="G535" i="1"/>
  <c r="G534" i="1"/>
  <c r="G530" i="1"/>
  <c r="G527" i="1"/>
  <c r="G526" i="1"/>
  <c r="G522" i="1"/>
  <c r="G523" i="1"/>
  <c r="G519" i="1"/>
  <c r="G513" i="1"/>
  <c r="G514" i="1"/>
  <c r="G510" i="1"/>
  <c r="G504" i="1"/>
  <c r="G501" i="1"/>
  <c r="G500" i="1"/>
  <c r="G498" i="1"/>
  <c r="G497" i="1"/>
  <c r="G490" i="1"/>
  <c r="G487" i="1"/>
  <c r="G484" i="1"/>
  <c r="G483" i="1"/>
  <c r="G481" i="1"/>
  <c r="G480" i="1"/>
  <c r="G473" i="1"/>
  <c r="G470" i="1"/>
  <c r="G469" i="1"/>
  <c r="G467" i="1"/>
  <c r="G466" i="1"/>
  <c r="G459" i="1"/>
  <c r="G456" i="1"/>
  <c r="G452" i="1"/>
  <c r="G451" i="1"/>
  <c r="G447" i="1"/>
  <c r="G444" i="1"/>
  <c r="G443" i="1"/>
  <c r="G441" i="1"/>
  <c r="G440" i="1"/>
  <c r="G433" i="1"/>
  <c r="G430" i="1"/>
  <c r="G427" i="1"/>
  <c r="G426" i="1"/>
  <c r="G424" i="1"/>
  <c r="G423" i="1"/>
  <c r="G416" i="1"/>
  <c r="G413" i="1"/>
  <c r="G410" i="1"/>
  <c r="G409" i="1"/>
  <c r="G407" i="1"/>
  <c r="G406" i="1"/>
  <c r="G399" i="1"/>
  <c r="G396" i="1"/>
  <c r="G393" i="1"/>
  <c r="G392" i="1"/>
  <c r="G390" i="1"/>
  <c r="G389" i="1"/>
  <c r="G381" i="1"/>
  <c r="G380" i="1"/>
  <c r="G378" i="1"/>
  <c r="G377" i="1"/>
  <c r="G369" i="1"/>
  <c r="G368" i="1"/>
  <c r="G365" i="1"/>
  <c r="G364" i="1"/>
  <c r="G360" i="1"/>
  <c r="G361" i="1"/>
  <c r="G357" i="1"/>
  <c r="G353" i="1"/>
  <c r="G352" i="1"/>
  <c r="G344" i="1"/>
  <c r="G343" i="1"/>
  <c r="G341" i="1"/>
  <c r="G340" i="1"/>
  <c r="G331" i="1"/>
  <c r="G328" i="1"/>
  <c r="G325" i="1"/>
  <c r="G324" i="1"/>
  <c r="G322" i="1"/>
  <c r="G321" i="1"/>
  <c r="G312" i="1"/>
  <c r="G309" i="1"/>
  <c r="G306" i="1"/>
  <c r="G305" i="1"/>
  <c r="G303" i="1"/>
  <c r="G302" i="1"/>
  <c r="G296" i="1"/>
  <c r="G295" i="1"/>
  <c r="H295" i="1" s="1"/>
  <c r="G287" i="1"/>
  <c r="G278" i="1"/>
  <c r="G273" i="1"/>
  <c r="G264" i="1"/>
  <c r="G259" i="1"/>
  <c r="G250" i="1"/>
  <c r="G245" i="1"/>
  <c r="G228" i="1"/>
  <c r="G223" i="1"/>
  <c r="G202" i="1"/>
  <c r="G199" i="1"/>
  <c r="G186" i="1"/>
  <c r="G181" i="1"/>
  <c r="G171" i="1"/>
  <c r="G165" i="1"/>
  <c r="G160" i="1"/>
  <c r="G153" i="1"/>
  <c r="G141" i="1"/>
  <c r="G136" i="1"/>
  <c r="G129" i="1"/>
  <c r="G121" i="1"/>
  <c r="G116" i="1"/>
  <c r="G113" i="1"/>
  <c r="G89" i="1"/>
  <c r="G84" i="1"/>
  <c r="G71" i="1"/>
  <c r="G66" i="1"/>
  <c r="G63" i="1"/>
  <c r="G54" i="1"/>
  <c r="G49" i="1"/>
  <c r="G46" i="1"/>
  <c r="G40" i="1"/>
  <c r="G33" i="1"/>
  <c r="G28" i="1"/>
  <c r="G27" i="1"/>
  <c r="H672" i="1" l="1"/>
  <c r="H676" i="1"/>
  <c r="H677" i="1"/>
  <c r="H671" i="1" s="1"/>
  <c r="G671" i="1" s="1"/>
  <c r="D53" i="1" l="1"/>
  <c r="D547" i="1" l="1"/>
  <c r="H547" i="1" s="1"/>
  <c r="D546" i="1"/>
  <c r="H546" i="1" s="1"/>
  <c r="F545" i="1"/>
  <c r="H544" i="1"/>
  <c r="D543" i="1"/>
  <c r="H543" i="1" s="1"/>
  <c r="D542" i="1"/>
  <c r="H542" i="1" s="1"/>
  <c r="F541" i="1"/>
  <c r="D539" i="1"/>
  <c r="H539" i="1" s="1"/>
  <c r="D538" i="1"/>
  <c r="H538" i="1" s="1"/>
  <c r="F537" i="1"/>
  <c r="H536" i="1"/>
  <c r="D535" i="1"/>
  <c r="H535" i="1" s="1"/>
  <c r="D534" i="1"/>
  <c r="H534" i="1" s="1"/>
  <c r="F533" i="1"/>
  <c r="D531" i="1"/>
  <c r="H531" i="1" s="1"/>
  <c r="D530" i="1"/>
  <c r="H530" i="1" s="1"/>
  <c r="F529" i="1"/>
  <c r="H528" i="1"/>
  <c r="D527" i="1"/>
  <c r="H527" i="1" s="1"/>
  <c r="D526" i="1"/>
  <c r="H526" i="1" s="1"/>
  <c r="F525" i="1"/>
  <c r="D524" i="1"/>
  <c r="H524" i="1" s="1"/>
  <c r="D523" i="1"/>
  <c r="H523" i="1" s="1"/>
  <c r="D522" i="1"/>
  <c r="H522" i="1" s="1"/>
  <c r="D521" i="1"/>
  <c r="H521" i="1" s="1"/>
  <c r="D520" i="1"/>
  <c r="H520" i="1" s="1"/>
  <c r="D519" i="1"/>
  <c r="H519" i="1" s="1"/>
  <c r="F518" i="1"/>
  <c r="F517" i="1"/>
  <c r="F549" i="1"/>
  <c r="D550" i="1"/>
  <c r="H550" i="1" s="1"/>
  <c r="D551" i="1"/>
  <c r="H551" i="1" s="1"/>
  <c r="H552" i="1"/>
  <c r="F553" i="1"/>
  <c r="D554" i="1"/>
  <c r="H554" i="1" s="1"/>
  <c r="D555" i="1"/>
  <c r="H555" i="1" s="1"/>
  <c r="F556" i="1"/>
  <c r="D346" i="1"/>
  <c r="H346" i="1" s="1"/>
  <c r="D345" i="1"/>
  <c r="H345" i="1" s="1"/>
  <c r="D344" i="1"/>
  <c r="H344" i="1" s="1"/>
  <c r="D343" i="1"/>
  <c r="H343" i="1" s="1"/>
  <c r="F342" i="1"/>
  <c r="D341" i="1"/>
  <c r="H341" i="1" s="1"/>
  <c r="D340" i="1"/>
  <c r="H340" i="1" s="1"/>
  <c r="H339" i="1"/>
  <c r="D338" i="1"/>
  <c r="H338" i="1" s="1"/>
  <c r="D337" i="1"/>
  <c r="H337" i="1" s="1"/>
  <c r="F336" i="1"/>
  <c r="F150" i="1"/>
  <c r="F126" i="1"/>
  <c r="D49" i="1"/>
  <c r="H49" i="1" s="1"/>
  <c r="D52" i="1"/>
  <c r="H52" i="1" s="1"/>
  <c r="D51" i="1"/>
  <c r="H51" i="1" s="1"/>
  <c r="D50" i="1"/>
  <c r="H50" i="1" s="1"/>
  <c r="F48" i="1"/>
  <c r="D114" i="1"/>
  <c r="H114" i="1" s="1"/>
  <c r="D113" i="1"/>
  <c r="F112" i="1"/>
  <c r="D111" i="1"/>
  <c r="F110" i="1"/>
  <c r="F108" i="1"/>
  <c r="F106" i="1"/>
  <c r="D104" i="1"/>
  <c r="H104" i="1" s="1"/>
  <c r="H103" i="1"/>
  <c r="D105" i="1"/>
  <c r="H105" i="1" s="1"/>
  <c r="F102" i="1"/>
  <c r="D100" i="1"/>
  <c r="H100" i="1" s="1"/>
  <c r="H99" i="1"/>
  <c r="D101" i="1"/>
  <c r="H101" i="1" s="1"/>
  <c r="F98" i="1"/>
  <c r="D97" i="1"/>
  <c r="H97" i="1" s="1"/>
  <c r="H113" i="1" l="1"/>
  <c r="H112" i="1" s="1"/>
  <c r="H127" i="1"/>
  <c r="H126" i="1" s="1"/>
  <c r="H151" i="1"/>
  <c r="H150" i="1" s="1"/>
  <c r="H109" i="1"/>
  <c r="H108" i="1" s="1"/>
  <c r="H107" i="1"/>
  <c r="H106" i="1" s="1"/>
  <c r="H111" i="1"/>
  <c r="H110" i="1" s="1"/>
  <c r="H342" i="1"/>
  <c r="G342" i="1" s="1"/>
  <c r="H98" i="1"/>
  <c r="H102" i="1"/>
  <c r="G102" i="1" s="1"/>
  <c r="H553" i="1"/>
  <c r="H48" i="1"/>
  <c r="G48" i="1" s="1"/>
  <c r="H537" i="1"/>
  <c r="G537" i="1" s="1"/>
  <c r="H549" i="1"/>
  <c r="G549" i="1" s="1"/>
  <c r="D642" i="1"/>
  <c r="H642" i="1" s="1"/>
  <c r="D626" i="1"/>
  <c r="H626" i="1" s="1"/>
  <c r="D625" i="1"/>
  <c r="H625" i="1" s="1"/>
  <c r="D607" i="1"/>
  <c r="H607" i="1" s="1"/>
  <c r="D592" i="1"/>
  <c r="H592" i="1" s="1"/>
  <c r="D558" i="1"/>
  <c r="H558" i="1" s="1"/>
  <c r="D514" i="1"/>
  <c r="H514" i="1" s="1"/>
  <c r="D513" i="1"/>
  <c r="H513" i="1" s="1"/>
  <c r="G150" i="1" l="1"/>
  <c r="I150" i="1"/>
  <c r="G126" i="1"/>
  <c r="I126" i="1"/>
  <c r="G112" i="1"/>
  <c r="I112" i="1"/>
  <c r="I553" i="1"/>
  <c r="G553" i="1"/>
  <c r="I110" i="1"/>
  <c r="G110" i="1"/>
  <c r="G106" i="1"/>
  <c r="I106" i="1"/>
  <c r="G108" i="1"/>
  <c r="I108" i="1"/>
  <c r="I98" i="1"/>
  <c r="G98" i="1"/>
  <c r="I48" i="1"/>
  <c r="H336" i="1"/>
  <c r="H518" i="1"/>
  <c r="G518" i="1" s="1"/>
  <c r="H533" i="1"/>
  <c r="H545" i="1"/>
  <c r="H541" i="1"/>
  <c r="H529" i="1"/>
  <c r="H517" i="1"/>
  <c r="I102" i="1"/>
  <c r="I537" i="1"/>
  <c r="H525" i="1"/>
  <c r="G525" i="1" s="1"/>
  <c r="I549" i="1"/>
  <c r="I342" i="1"/>
  <c r="I541" i="1" l="1"/>
  <c r="G541" i="1"/>
  <c r="I517" i="1"/>
  <c r="G517" i="1"/>
  <c r="I533" i="1"/>
  <c r="G533" i="1"/>
  <c r="I336" i="1"/>
  <c r="G336" i="1"/>
  <c r="I545" i="1"/>
  <c r="G545" i="1"/>
  <c r="I529" i="1"/>
  <c r="G529" i="1"/>
  <c r="I525" i="1"/>
  <c r="I518" i="1"/>
  <c r="H307" i="1"/>
  <c r="D306" i="1"/>
  <c r="H306" i="1" s="1"/>
  <c r="D288" i="1"/>
  <c r="H288" i="1" s="1"/>
  <c r="D235" i="1"/>
  <c r="H235" i="1" s="1"/>
  <c r="H192" i="1"/>
  <c r="D196" i="1"/>
  <c r="H196" i="1" s="1"/>
  <c r="D158" i="1"/>
  <c r="H158" i="1" s="1"/>
  <c r="D172" i="1"/>
  <c r="H172" i="1" s="1"/>
  <c r="H132" i="1"/>
  <c r="D133" i="1"/>
  <c r="H133" i="1" s="1"/>
  <c r="H156" i="1"/>
  <c r="D154" i="1"/>
  <c r="H154" i="1" s="1"/>
  <c r="D134" i="1"/>
  <c r="H134" i="1" s="1"/>
  <c r="D130" i="1"/>
  <c r="H130" i="1" s="1"/>
  <c r="D64" i="1"/>
  <c r="H64" i="1" s="1"/>
  <c r="D34" i="1"/>
  <c r="H34" i="1" s="1"/>
  <c r="D13" i="1"/>
  <c r="H13" i="1" s="1"/>
  <c r="H131" i="1" l="1"/>
  <c r="G131" i="1" s="1"/>
  <c r="D271" i="1"/>
  <c r="H271" i="1" s="1"/>
  <c r="D242" i="1"/>
  <c r="H242" i="1" s="1"/>
  <c r="H241" i="1"/>
  <c r="D216" i="1"/>
  <c r="H216" i="1" s="1"/>
  <c r="H215" i="1"/>
  <c r="D701" i="1"/>
  <c r="H701" i="1" s="1"/>
  <c r="D700" i="1"/>
  <c r="H700" i="1" s="1"/>
  <c r="F699" i="1"/>
  <c r="H698" i="1"/>
  <c r="D697" i="1"/>
  <c r="H697" i="1" s="1"/>
  <c r="D696" i="1"/>
  <c r="H696" i="1" s="1"/>
  <c r="F695" i="1"/>
  <c r="D693" i="1"/>
  <c r="H693" i="1" s="1"/>
  <c r="D692" i="1"/>
  <c r="H692" i="1" s="1"/>
  <c r="F691" i="1"/>
  <c r="H690" i="1"/>
  <c r="D689" i="1"/>
  <c r="H689" i="1" s="1"/>
  <c r="D688" i="1"/>
  <c r="H688" i="1" s="1"/>
  <c r="F687" i="1"/>
  <c r="D499" i="1"/>
  <c r="H496" i="1"/>
  <c r="D494" i="1"/>
  <c r="H494" i="1" s="1"/>
  <c r="D503" i="1" l="1"/>
  <c r="D505" i="1" s="1"/>
  <c r="H505" i="1" s="1"/>
  <c r="D502" i="1"/>
  <c r="H502" i="1" s="1"/>
  <c r="H691" i="1"/>
  <c r="G691" i="1" s="1"/>
  <c r="H687" i="1"/>
  <c r="G687" i="1" s="1"/>
  <c r="H699" i="1"/>
  <c r="G699" i="1" s="1"/>
  <c r="D495" i="1"/>
  <c r="H495" i="1" s="1"/>
  <c r="D498" i="1"/>
  <c r="H498" i="1" s="1"/>
  <c r="D501" i="1"/>
  <c r="H501" i="1" s="1"/>
  <c r="F499" i="1"/>
  <c r="D500" i="1"/>
  <c r="H500" i="1" s="1"/>
  <c r="F493" i="1"/>
  <c r="D497" i="1"/>
  <c r="H497" i="1" s="1"/>
  <c r="D491" i="1"/>
  <c r="H491" i="1" s="1"/>
  <c r="D490" i="1"/>
  <c r="H490" i="1" s="1"/>
  <c r="F489" i="1"/>
  <c r="D488" i="1"/>
  <c r="H488" i="1" s="1"/>
  <c r="D487" i="1"/>
  <c r="H487" i="1" s="1"/>
  <c r="F486" i="1"/>
  <c r="D482" i="1"/>
  <c r="D481" i="1"/>
  <c r="H481" i="1" s="1"/>
  <c r="D480" i="1"/>
  <c r="H480" i="1" s="1"/>
  <c r="H479" i="1"/>
  <c r="D478" i="1"/>
  <c r="H478" i="1" s="1"/>
  <c r="D477" i="1"/>
  <c r="H477" i="1" s="1"/>
  <c r="F476" i="1"/>
  <c r="D474" i="1"/>
  <c r="H474" i="1" s="1"/>
  <c r="D473" i="1"/>
  <c r="H473" i="1" s="1"/>
  <c r="F472" i="1"/>
  <c r="D468" i="1"/>
  <c r="D467" i="1"/>
  <c r="H467" i="1" s="1"/>
  <c r="D466" i="1"/>
  <c r="H466" i="1" s="1"/>
  <c r="H465" i="1"/>
  <c r="D464" i="1"/>
  <c r="H464" i="1" s="1"/>
  <c r="D463" i="1"/>
  <c r="H463" i="1" s="1"/>
  <c r="F462" i="1"/>
  <c r="F503" i="1" l="1"/>
  <c r="D504" i="1"/>
  <c r="H504" i="1" s="1"/>
  <c r="H503" i="1" s="1"/>
  <c r="G503" i="1" s="1"/>
  <c r="D485" i="1"/>
  <c r="H485" i="1" s="1"/>
  <c r="D470" i="1"/>
  <c r="H470" i="1" s="1"/>
  <c r="D471" i="1"/>
  <c r="H471" i="1" s="1"/>
  <c r="H695" i="1"/>
  <c r="G695" i="1" s="1"/>
  <c r="I691" i="1"/>
  <c r="I687" i="1"/>
  <c r="H472" i="1"/>
  <c r="G472" i="1" s="1"/>
  <c r="H486" i="1"/>
  <c r="G486" i="1" s="1"/>
  <c r="H489" i="1"/>
  <c r="G489" i="1" s="1"/>
  <c r="I699" i="1"/>
  <c r="H493" i="1"/>
  <c r="G493" i="1" s="1"/>
  <c r="H499" i="1"/>
  <c r="G499" i="1" s="1"/>
  <c r="F482" i="1"/>
  <c r="D484" i="1"/>
  <c r="H484" i="1" s="1"/>
  <c r="D483" i="1"/>
  <c r="H483" i="1" s="1"/>
  <c r="D469" i="1"/>
  <c r="H469" i="1" s="1"/>
  <c r="F468" i="1"/>
  <c r="I695" i="1" l="1"/>
  <c r="I503" i="1"/>
  <c r="I493" i="1"/>
  <c r="H468" i="1"/>
  <c r="G468" i="1" s="1"/>
  <c r="H476" i="1"/>
  <c r="G476" i="1" s="1"/>
  <c r="I489" i="1"/>
  <c r="I472" i="1"/>
  <c r="I486" i="1"/>
  <c r="H462" i="1"/>
  <c r="G462" i="1" s="1"/>
  <c r="I499" i="1"/>
  <c r="H482" i="1"/>
  <c r="G482" i="1" s="1"/>
  <c r="I476" i="1" l="1"/>
  <c r="I462" i="1"/>
  <c r="I468" i="1"/>
  <c r="I482" i="1"/>
  <c r="D287" i="1" l="1"/>
  <c r="H287" i="1" s="1"/>
  <c r="F286" i="1"/>
  <c r="D285" i="1"/>
  <c r="H285" i="1" s="1"/>
  <c r="F283" i="1"/>
  <c r="D280" i="1"/>
  <c r="H280" i="1" s="1"/>
  <c r="D276" i="1"/>
  <c r="H276" i="1" s="1"/>
  <c r="D275" i="1"/>
  <c r="H275" i="1" s="1"/>
  <c r="D274" i="1"/>
  <c r="H274" i="1" s="1"/>
  <c r="D273" i="1"/>
  <c r="H273" i="1" s="1"/>
  <c r="F272" i="1"/>
  <c r="F269" i="1"/>
  <c r="D266" i="1"/>
  <c r="H266" i="1" s="1"/>
  <c r="D262" i="1"/>
  <c r="H262" i="1" s="1"/>
  <c r="D261" i="1"/>
  <c r="H261" i="1" s="1"/>
  <c r="D260" i="1"/>
  <c r="H260" i="1" s="1"/>
  <c r="D259" i="1"/>
  <c r="H259" i="1" s="1"/>
  <c r="F258" i="1"/>
  <c r="D257" i="1"/>
  <c r="H257" i="1" s="1"/>
  <c r="F255" i="1"/>
  <c r="D253" i="1"/>
  <c r="H253" i="1" s="1"/>
  <c r="D248" i="1"/>
  <c r="H248" i="1" s="1"/>
  <c r="D247" i="1"/>
  <c r="H247" i="1" s="1"/>
  <c r="D246" i="1"/>
  <c r="H246" i="1" s="1"/>
  <c r="D245" i="1"/>
  <c r="H245" i="1" s="1"/>
  <c r="F244" i="1"/>
  <c r="D189" i="1"/>
  <c r="H189" i="1" s="1"/>
  <c r="D188" i="1"/>
  <c r="H188" i="1" s="1"/>
  <c r="D187" i="1"/>
  <c r="H187" i="1" s="1"/>
  <c r="D186" i="1"/>
  <c r="H186" i="1" s="1"/>
  <c r="D243" i="1"/>
  <c r="H243" i="1" s="1"/>
  <c r="F240" i="1"/>
  <c r="F238" i="1"/>
  <c r="D237" i="1"/>
  <c r="F236" i="1"/>
  <c r="F233" i="1"/>
  <c r="D221" i="1"/>
  <c r="H221" i="1" s="1"/>
  <c r="F219" i="1"/>
  <c r="D231" i="1"/>
  <c r="H231" i="1" s="1"/>
  <c r="D226" i="1"/>
  <c r="H226" i="1" s="1"/>
  <c r="D225" i="1"/>
  <c r="H225" i="1" s="1"/>
  <c r="D224" i="1"/>
  <c r="H224" i="1" s="1"/>
  <c r="D223" i="1"/>
  <c r="H223" i="1" s="1"/>
  <c r="F222" i="1"/>
  <c r="D217" i="1"/>
  <c r="H217" i="1" s="1"/>
  <c r="F214" i="1"/>
  <c r="D213" i="1"/>
  <c r="F212" i="1"/>
  <c r="F210" i="1"/>
  <c r="F207" i="1"/>
  <c r="D363" i="1"/>
  <c r="D366" i="1" s="1"/>
  <c r="D160" i="1"/>
  <c r="H160" i="1" s="1"/>
  <c r="H213" i="1" l="1"/>
  <c r="H212" i="1" s="1"/>
  <c r="G212" i="1" s="1"/>
  <c r="H237" i="1"/>
  <c r="H236" i="1" s="1"/>
  <c r="G236" i="1" s="1"/>
  <c r="H214" i="1"/>
  <c r="G214" i="1" s="1"/>
  <c r="H283" i="1"/>
  <c r="G283" i="1" s="1"/>
  <c r="H219" i="1"/>
  <c r="G219" i="1" s="1"/>
  <c r="H240" i="1"/>
  <c r="G240" i="1" s="1"/>
  <c r="H286" i="1"/>
  <c r="G286" i="1" s="1"/>
  <c r="H255" i="1"/>
  <c r="G255" i="1" s="1"/>
  <c r="D234" i="1"/>
  <c r="D239" i="1"/>
  <c r="D267" i="1"/>
  <c r="H267" i="1" s="1"/>
  <c r="D281" i="1"/>
  <c r="H281" i="1" s="1"/>
  <c r="D208" i="1"/>
  <c r="D228" i="1"/>
  <c r="H228" i="1" s="1"/>
  <c r="D264" i="1"/>
  <c r="H264" i="1" s="1"/>
  <c r="D278" i="1"/>
  <c r="H278" i="1" s="1"/>
  <c r="F277" i="1"/>
  <c r="D279" i="1"/>
  <c r="H279" i="1" s="1"/>
  <c r="F263" i="1"/>
  <c r="D265" i="1"/>
  <c r="H265" i="1" s="1"/>
  <c r="F249" i="1"/>
  <c r="D251" i="1"/>
  <c r="H251" i="1" s="1"/>
  <c r="D252" i="1"/>
  <c r="H252" i="1" s="1"/>
  <c r="D250" i="1"/>
  <c r="H250" i="1" s="1"/>
  <c r="F227" i="1"/>
  <c r="D229" i="1"/>
  <c r="H229" i="1" s="1"/>
  <c r="D230" i="1"/>
  <c r="H230" i="1" s="1"/>
  <c r="D211" i="1"/>
  <c r="D375" i="1"/>
  <c r="H375" i="1" s="1"/>
  <c r="E560" i="1"/>
  <c r="H208" i="1" l="1"/>
  <c r="H207" i="1" s="1"/>
  <c r="G207" i="1" s="1"/>
  <c r="H234" i="1"/>
  <c r="H233" i="1" s="1"/>
  <c r="G233" i="1" s="1"/>
  <c r="H239" i="1"/>
  <c r="H238" i="1" s="1"/>
  <c r="H211" i="1"/>
  <c r="H210" i="1" s="1"/>
  <c r="G210" i="1" s="1"/>
  <c r="H222" i="1"/>
  <c r="G222" i="1" s="1"/>
  <c r="H258" i="1"/>
  <c r="G258" i="1" s="1"/>
  <c r="I219" i="1"/>
  <c r="H269" i="1"/>
  <c r="G269" i="1" s="1"/>
  <c r="H244" i="1"/>
  <c r="G244" i="1" s="1"/>
  <c r="H272" i="1"/>
  <c r="G272" i="1" s="1"/>
  <c r="I283" i="1"/>
  <c r="I255" i="1"/>
  <c r="H227" i="1"/>
  <c r="G227" i="1" s="1"/>
  <c r="I286" i="1"/>
  <c r="H249" i="1"/>
  <c r="G249" i="1" s="1"/>
  <c r="H263" i="1"/>
  <c r="G263" i="1" s="1"/>
  <c r="H277" i="1"/>
  <c r="G277" i="1" s="1"/>
  <c r="I236" i="1"/>
  <c r="D404" i="1"/>
  <c r="H404" i="1" s="1"/>
  <c r="D438" i="1"/>
  <c r="H438" i="1" s="1"/>
  <c r="D421" i="1"/>
  <c r="H421" i="1" s="1"/>
  <c r="D387" i="1"/>
  <c r="H387" i="1" s="1"/>
  <c r="G238" i="1" l="1"/>
  <c r="I238" i="1"/>
  <c r="I244" i="1"/>
  <c r="I258" i="1"/>
  <c r="I222" i="1"/>
  <c r="I240" i="1"/>
  <c r="I272" i="1"/>
  <c r="I269" i="1"/>
  <c r="I227" i="1"/>
  <c r="I249" i="1"/>
  <c r="I277" i="1"/>
  <c r="I263" i="1"/>
  <c r="I214" i="1"/>
  <c r="I233" i="1"/>
  <c r="I212" i="1" l="1"/>
  <c r="D358" i="1"/>
  <c r="H358" i="1" s="1"/>
  <c r="D333" i="1"/>
  <c r="H333" i="1" s="1"/>
  <c r="D314" i="1"/>
  <c r="H314" i="1" s="1"/>
  <c r="D204" i="1"/>
  <c r="H204" i="1" s="1"/>
  <c r="D183" i="1"/>
  <c r="H183" i="1" s="1"/>
  <c r="D162" i="1"/>
  <c r="H162" i="1" s="1"/>
  <c r="D143" i="1"/>
  <c r="H143" i="1" s="1"/>
  <c r="D138" i="1"/>
  <c r="H138" i="1" s="1"/>
  <c r="D123" i="1"/>
  <c r="H123" i="1" s="1"/>
  <c r="D118" i="1"/>
  <c r="H118" i="1" s="1"/>
  <c r="D91" i="1"/>
  <c r="H91" i="1" s="1"/>
  <c r="D86" i="1"/>
  <c r="H86" i="1" s="1"/>
  <c r="D73" i="1"/>
  <c r="H73" i="1" s="1"/>
  <c r="D68" i="1"/>
  <c r="H68" i="1" s="1"/>
  <c r="D56" i="1"/>
  <c r="H56" i="1" s="1"/>
  <c r="D42" i="1"/>
  <c r="H42" i="1" s="1"/>
  <c r="D29" i="1"/>
  <c r="H29" i="1" s="1"/>
  <c r="D383" i="1"/>
  <c r="H383" i="1" s="1"/>
  <c r="D371" i="1"/>
  <c r="H371" i="1" s="1"/>
  <c r="D437" i="1"/>
  <c r="H437" i="1" s="1"/>
  <c r="D420" i="1"/>
  <c r="H420" i="1" s="1"/>
  <c r="D403" i="1"/>
  <c r="H403" i="1" s="1"/>
  <c r="D386" i="1"/>
  <c r="H386" i="1" s="1"/>
  <c r="D374" i="1"/>
  <c r="H374" i="1" s="1"/>
  <c r="D349" i="1"/>
  <c r="H349" i="1" s="1"/>
  <c r="D318" i="1"/>
  <c r="H318" i="1" s="1"/>
  <c r="D299" i="1"/>
  <c r="H299" i="1" s="1"/>
  <c r="H326" i="1"/>
  <c r="D325" i="1"/>
  <c r="H325" i="1" s="1"/>
  <c r="D452" i="1"/>
  <c r="H452" i="1" s="1"/>
  <c r="D596" i="1"/>
  <c r="H596" i="1" s="1"/>
  <c r="D585" i="1"/>
  <c r="H585" i="1" s="1"/>
  <c r="D565" i="1"/>
  <c r="H565" i="1" s="1"/>
  <c r="D684" i="1"/>
  <c r="H684" i="1" s="1"/>
  <c r="D680" i="1"/>
  <c r="H680" i="1" s="1"/>
  <c r="F671" i="1"/>
  <c r="F669" i="1"/>
  <c r="D665" i="1"/>
  <c r="D666" i="1" s="1"/>
  <c r="H666" i="1" s="1"/>
  <c r="D661" i="1"/>
  <c r="D660" i="1"/>
  <c r="H660" i="1" s="1"/>
  <c r="D659" i="1"/>
  <c r="H659" i="1" s="1"/>
  <c r="D658" i="1"/>
  <c r="H658" i="1" s="1"/>
  <c r="D657" i="1"/>
  <c r="H657" i="1" s="1"/>
  <c r="D656" i="1"/>
  <c r="H656" i="1" s="1"/>
  <c r="D655" i="1"/>
  <c r="H655" i="1" s="1"/>
  <c r="F654" i="1"/>
  <c r="F653" i="1"/>
  <c r="D641" i="1"/>
  <c r="H641" i="1" s="1"/>
  <c r="D649" i="1"/>
  <c r="D650" i="1" s="1"/>
  <c r="H650" i="1" s="1"/>
  <c r="D645" i="1"/>
  <c r="D644" i="1"/>
  <c r="H644" i="1" s="1"/>
  <c r="D643" i="1"/>
  <c r="H643" i="1" s="1"/>
  <c r="D640" i="1"/>
  <c r="H640" i="1" s="1"/>
  <c r="D639" i="1"/>
  <c r="H639" i="1" s="1"/>
  <c r="F638" i="1"/>
  <c r="F637" i="1"/>
  <c r="D624" i="1"/>
  <c r="H624" i="1" s="1"/>
  <c r="D633" i="1"/>
  <c r="D634" i="1" s="1"/>
  <c r="H634" i="1" s="1"/>
  <c r="D629" i="1"/>
  <c r="D628" i="1"/>
  <c r="H628" i="1" s="1"/>
  <c r="D627" i="1"/>
  <c r="H627" i="1" s="1"/>
  <c r="D623" i="1"/>
  <c r="H623" i="1" s="1"/>
  <c r="D622" i="1"/>
  <c r="H622" i="1" s="1"/>
  <c r="F621" i="1"/>
  <c r="F620" i="1"/>
  <c r="D611" i="1"/>
  <c r="H611" i="1" s="1"/>
  <c r="D610" i="1"/>
  <c r="H610" i="1" s="1"/>
  <c r="D616" i="1"/>
  <c r="D617" i="1" s="1"/>
  <c r="H617" i="1" s="1"/>
  <c r="D612" i="1"/>
  <c r="D609" i="1"/>
  <c r="H609" i="1" s="1"/>
  <c r="D608" i="1"/>
  <c r="H608" i="1" s="1"/>
  <c r="D606" i="1"/>
  <c r="H606" i="1" s="1"/>
  <c r="F605" i="1"/>
  <c r="F604" i="1"/>
  <c r="D602" i="1"/>
  <c r="H602" i="1" s="1"/>
  <c r="F601" i="1"/>
  <c r="D600" i="1"/>
  <c r="H600" i="1" s="1"/>
  <c r="D599" i="1"/>
  <c r="H599" i="1" s="1"/>
  <c r="F598" i="1"/>
  <c r="H597" i="1"/>
  <c r="D595" i="1"/>
  <c r="H595" i="1" s="1"/>
  <c r="F594" i="1"/>
  <c r="F572" i="1"/>
  <c r="D591" i="1"/>
  <c r="H591" i="1" s="1"/>
  <c r="F590" i="1"/>
  <c r="D589" i="1"/>
  <c r="H589" i="1" s="1"/>
  <c r="D588" i="1"/>
  <c r="H588" i="1" s="1"/>
  <c r="F587" i="1"/>
  <c r="H586" i="1"/>
  <c r="D584" i="1"/>
  <c r="H584" i="1" s="1"/>
  <c r="F583" i="1"/>
  <c r="F629" i="1" l="1"/>
  <c r="D632" i="1"/>
  <c r="H632" i="1" s="1"/>
  <c r="D662" i="1"/>
  <c r="H662" i="1" s="1"/>
  <c r="D664" i="1"/>
  <c r="H664" i="1" s="1"/>
  <c r="F645" i="1"/>
  <c r="D648" i="1"/>
  <c r="H648" i="1" s="1"/>
  <c r="D613" i="1"/>
  <c r="H613" i="1" s="1"/>
  <c r="D615" i="1"/>
  <c r="H615" i="1" s="1"/>
  <c r="I210" i="1"/>
  <c r="D631" i="1"/>
  <c r="H631" i="1" s="1"/>
  <c r="D647" i="1"/>
  <c r="H647" i="1" s="1"/>
  <c r="D681" i="1"/>
  <c r="H681" i="1" s="1"/>
  <c r="D663" i="1"/>
  <c r="H663" i="1" s="1"/>
  <c r="D614" i="1"/>
  <c r="H614" i="1" s="1"/>
  <c r="D685" i="1"/>
  <c r="H685" i="1" s="1"/>
  <c r="F679" i="1"/>
  <c r="H682" i="1"/>
  <c r="F683" i="1"/>
  <c r="F616" i="1"/>
  <c r="F649" i="1"/>
  <c r="F661" i="1"/>
  <c r="F665" i="1"/>
  <c r="D667" i="1"/>
  <c r="H667" i="1" s="1"/>
  <c r="D651" i="1"/>
  <c r="H651" i="1" s="1"/>
  <c r="D646" i="1"/>
  <c r="H646" i="1" s="1"/>
  <c r="D635" i="1"/>
  <c r="H635" i="1" s="1"/>
  <c r="F633" i="1"/>
  <c r="D630" i="1"/>
  <c r="H630" i="1" s="1"/>
  <c r="H598" i="1"/>
  <c r="G598" i="1" s="1"/>
  <c r="H601" i="1"/>
  <c r="G601" i="1" s="1"/>
  <c r="D618" i="1"/>
  <c r="H618" i="1" s="1"/>
  <c r="F612" i="1"/>
  <c r="H587" i="1"/>
  <c r="G587" i="1" s="1"/>
  <c r="I670" i="1" l="1"/>
  <c r="G670" i="1"/>
  <c r="H590" i="1"/>
  <c r="G590" i="1" s="1"/>
  <c r="I207" i="1"/>
  <c r="H594" i="1"/>
  <c r="G594" i="1" s="1"/>
  <c r="H665" i="1"/>
  <c r="G665" i="1" s="1"/>
  <c r="H583" i="1"/>
  <c r="G583" i="1" s="1"/>
  <c r="I601" i="1"/>
  <c r="H679" i="1"/>
  <c r="G679" i="1" s="1"/>
  <c r="I598" i="1"/>
  <c r="I587" i="1"/>
  <c r="H661" i="1"/>
  <c r="G661" i="1" s="1"/>
  <c r="H653" i="1"/>
  <c r="G653" i="1" s="1"/>
  <c r="H633" i="1"/>
  <c r="G633" i="1" s="1"/>
  <c r="H683" i="1"/>
  <c r="H612" i="1"/>
  <c r="G612" i="1" s="1"/>
  <c r="H638" i="1"/>
  <c r="G638" i="1" s="1"/>
  <c r="H654" i="1"/>
  <c r="G654" i="1" s="1"/>
  <c r="H637" i="1"/>
  <c r="G637" i="1" s="1"/>
  <c r="H621" i="1"/>
  <c r="G621" i="1" s="1"/>
  <c r="H649" i="1"/>
  <c r="G649" i="1" s="1"/>
  <c r="H645" i="1"/>
  <c r="G645" i="1" s="1"/>
  <c r="H604" i="1"/>
  <c r="G604" i="1" s="1"/>
  <c r="H620" i="1"/>
  <c r="G620" i="1" s="1"/>
  <c r="H629" i="1"/>
  <c r="G629" i="1" s="1"/>
  <c r="H605" i="1"/>
  <c r="G605" i="1" s="1"/>
  <c r="H616" i="1"/>
  <c r="G616" i="1" s="1"/>
  <c r="D573" i="1"/>
  <c r="H573" i="1" s="1"/>
  <c r="D578" i="1"/>
  <c r="H578" i="1" s="1"/>
  <c r="D582" i="1"/>
  <c r="H582" i="1" s="1"/>
  <c r="D581" i="1"/>
  <c r="H581" i="1" s="1"/>
  <c r="D580" i="1"/>
  <c r="H580" i="1" s="1"/>
  <c r="D575" i="1"/>
  <c r="H575" i="1" s="1"/>
  <c r="D574" i="1"/>
  <c r="H574" i="1" s="1"/>
  <c r="H572" i="1" l="1"/>
  <c r="G572" i="1" s="1"/>
  <c r="G683" i="1"/>
  <c r="I590" i="1"/>
  <c r="I665" i="1"/>
  <c r="I594" i="1"/>
  <c r="I583" i="1"/>
  <c r="I612" i="1"/>
  <c r="I679" i="1"/>
  <c r="I683" i="1"/>
  <c r="I629" i="1"/>
  <c r="I638" i="1"/>
  <c r="I671" i="1"/>
  <c r="I620" i="1"/>
  <c r="I621" i="1"/>
  <c r="I649" i="1"/>
  <c r="I604" i="1"/>
  <c r="I637" i="1"/>
  <c r="I669" i="1"/>
  <c r="I653" i="1"/>
  <c r="I633" i="1"/>
  <c r="I661" i="1"/>
  <c r="I605" i="1"/>
  <c r="I645" i="1"/>
  <c r="I654" i="1"/>
  <c r="I616" i="1"/>
  <c r="I572" i="1" l="1"/>
  <c r="D570" i="1"/>
  <c r="H570" i="1" s="1"/>
  <c r="D569" i="1"/>
  <c r="H569" i="1" s="1"/>
  <c r="F568" i="1"/>
  <c r="H566" i="1"/>
  <c r="D564" i="1"/>
  <c r="H564" i="1" s="1"/>
  <c r="F563" i="1"/>
  <c r="D562" i="1"/>
  <c r="H562" i="1" s="1"/>
  <c r="D557" i="1"/>
  <c r="H557" i="1" s="1"/>
  <c r="H563" i="1" l="1"/>
  <c r="G563" i="1" s="1"/>
  <c r="H556" i="1"/>
  <c r="G556" i="1" s="1"/>
  <c r="H568" i="1"/>
  <c r="D561" i="1"/>
  <c r="H561" i="1" s="1"/>
  <c r="F560" i="1"/>
  <c r="H453" i="1"/>
  <c r="D515" i="1"/>
  <c r="H515" i="1" s="1"/>
  <c r="D512" i="1"/>
  <c r="H512" i="1" s="1"/>
  <c r="D511" i="1"/>
  <c r="H511" i="1" s="1"/>
  <c r="D510" i="1"/>
  <c r="H510" i="1" s="1"/>
  <c r="F509" i="1"/>
  <c r="F508" i="1"/>
  <c r="F458" i="1"/>
  <c r="D460" i="1"/>
  <c r="H460" i="1" s="1"/>
  <c r="D459" i="1"/>
  <c r="H459" i="1" s="1"/>
  <c r="D457" i="1"/>
  <c r="H457" i="1" s="1"/>
  <c r="D456" i="1"/>
  <c r="H456" i="1" s="1"/>
  <c r="F455" i="1"/>
  <c r="D448" i="1"/>
  <c r="H448" i="1" s="1"/>
  <c r="D447" i="1"/>
  <c r="H447" i="1" s="1"/>
  <c r="F446" i="1"/>
  <c r="D442" i="1"/>
  <c r="D445" i="1" s="1"/>
  <c r="D441" i="1"/>
  <c r="H441" i="1" s="1"/>
  <c r="D440" i="1"/>
  <c r="H440" i="1" s="1"/>
  <c r="H439" i="1"/>
  <c r="F436" i="1"/>
  <c r="D434" i="1"/>
  <c r="H434" i="1" s="1"/>
  <c r="D433" i="1"/>
  <c r="H433" i="1" s="1"/>
  <c r="F432" i="1"/>
  <c r="D431" i="1"/>
  <c r="H431" i="1" s="1"/>
  <c r="D430" i="1"/>
  <c r="H430" i="1" s="1"/>
  <c r="F429" i="1"/>
  <c r="D425" i="1"/>
  <c r="D428" i="1" s="1"/>
  <c r="D424" i="1"/>
  <c r="H424" i="1" s="1"/>
  <c r="D423" i="1"/>
  <c r="H423" i="1" s="1"/>
  <c r="H422" i="1"/>
  <c r="F419" i="1"/>
  <c r="D417" i="1"/>
  <c r="H417" i="1" s="1"/>
  <c r="D416" i="1"/>
  <c r="H416" i="1" s="1"/>
  <c r="F415" i="1"/>
  <c r="D414" i="1"/>
  <c r="H414" i="1" s="1"/>
  <c r="D413" i="1"/>
  <c r="H413" i="1" s="1"/>
  <c r="F412" i="1"/>
  <c r="D408" i="1"/>
  <c r="D411" i="1" s="1"/>
  <c r="D407" i="1"/>
  <c r="H407" i="1" s="1"/>
  <c r="D406" i="1"/>
  <c r="H406" i="1" s="1"/>
  <c r="H405" i="1"/>
  <c r="F402" i="1"/>
  <c r="F398" i="1"/>
  <c r="F395" i="1"/>
  <c r="D391" i="1"/>
  <c r="D394" i="1" s="1"/>
  <c r="D400" i="1"/>
  <c r="H400" i="1" s="1"/>
  <c r="D397" i="1"/>
  <c r="H397" i="1" s="1"/>
  <c r="D396" i="1"/>
  <c r="H396" i="1" s="1"/>
  <c r="D390" i="1"/>
  <c r="H390" i="1" s="1"/>
  <c r="D389" i="1"/>
  <c r="H389" i="1" s="1"/>
  <c r="H388" i="1"/>
  <c r="F385" i="1"/>
  <c r="D382" i="1"/>
  <c r="H382" i="1" s="1"/>
  <c r="D381" i="1"/>
  <c r="H381" i="1" s="1"/>
  <c r="D380" i="1"/>
  <c r="H380" i="1" s="1"/>
  <c r="F379" i="1"/>
  <c r="D378" i="1"/>
  <c r="H378" i="1" s="1"/>
  <c r="D377" i="1"/>
  <c r="H377" i="1" s="1"/>
  <c r="H376" i="1"/>
  <c r="F373" i="1"/>
  <c r="G568" i="1" l="1"/>
  <c r="I556" i="1"/>
  <c r="H394" i="1"/>
  <c r="D393" i="1"/>
  <c r="H393" i="1" s="1"/>
  <c r="D409" i="1"/>
  <c r="H409" i="1" s="1"/>
  <c r="H411" i="1"/>
  <c r="D410" i="1"/>
  <c r="H410" i="1" s="1"/>
  <c r="D426" i="1"/>
  <c r="H426" i="1" s="1"/>
  <c r="D427" i="1"/>
  <c r="H427" i="1" s="1"/>
  <c r="H428" i="1"/>
  <c r="D443" i="1"/>
  <c r="H443" i="1" s="1"/>
  <c r="H445" i="1"/>
  <c r="D444" i="1"/>
  <c r="H444" i="1" s="1"/>
  <c r="I568" i="1"/>
  <c r="I563" i="1"/>
  <c r="H560" i="1"/>
  <c r="G560" i="1" s="1"/>
  <c r="H458" i="1"/>
  <c r="G458" i="1" s="1"/>
  <c r="H455" i="1"/>
  <c r="G455" i="1" s="1"/>
  <c r="H446" i="1"/>
  <c r="G446" i="1" s="1"/>
  <c r="D451" i="1"/>
  <c r="F450" i="1"/>
  <c r="H429" i="1"/>
  <c r="G429" i="1" s="1"/>
  <c r="H432" i="1"/>
  <c r="G432" i="1" s="1"/>
  <c r="F442" i="1"/>
  <c r="F425" i="1"/>
  <c r="H412" i="1"/>
  <c r="G412" i="1" s="1"/>
  <c r="H415" i="1"/>
  <c r="G415" i="1" s="1"/>
  <c r="F408" i="1"/>
  <c r="D399" i="1"/>
  <c r="D392" i="1"/>
  <c r="H392" i="1" s="1"/>
  <c r="F391" i="1"/>
  <c r="H395" i="1"/>
  <c r="G395" i="1" s="1"/>
  <c r="H399" i="1" l="1"/>
  <c r="H398" i="1" s="1"/>
  <c r="H451" i="1"/>
  <c r="H450" i="1" s="1"/>
  <c r="G450" i="1" s="1"/>
  <c r="H379" i="1"/>
  <c r="G379" i="1" s="1"/>
  <c r="I429" i="1"/>
  <c r="I446" i="1"/>
  <c r="H373" i="1"/>
  <c r="I415" i="1"/>
  <c r="I455" i="1"/>
  <c r="H391" i="1"/>
  <c r="I395" i="1"/>
  <c r="I432" i="1"/>
  <c r="I412" i="1"/>
  <c r="I458" i="1"/>
  <c r="H508" i="1"/>
  <c r="G508" i="1" s="1"/>
  <c r="H509" i="1"/>
  <c r="G509" i="1" s="1"/>
  <c r="I560" i="1"/>
  <c r="H442" i="1"/>
  <c r="G442" i="1" s="1"/>
  <c r="H436" i="1"/>
  <c r="G436" i="1" s="1"/>
  <c r="H419" i="1"/>
  <c r="G419" i="1" s="1"/>
  <c r="H402" i="1"/>
  <c r="G402" i="1" s="1"/>
  <c r="H425" i="1"/>
  <c r="G425" i="1" s="1"/>
  <c r="H408" i="1"/>
  <c r="G408" i="1" s="1"/>
  <c r="H385" i="1"/>
  <c r="G385" i="1" s="1"/>
  <c r="G398" i="1" l="1"/>
  <c r="I398" i="1"/>
  <c r="I391" i="1"/>
  <c r="G391" i="1"/>
  <c r="I450" i="1"/>
  <c r="I373" i="1"/>
  <c r="G373" i="1"/>
  <c r="I379" i="1"/>
  <c r="I402" i="1"/>
  <c r="I385" i="1"/>
  <c r="I419" i="1"/>
  <c r="I509" i="1"/>
  <c r="I436" i="1"/>
  <c r="I508" i="1"/>
  <c r="I408" i="1"/>
  <c r="I425" i="1"/>
  <c r="I442" i="1"/>
  <c r="I506" i="1" l="1"/>
  <c r="D370" i="1"/>
  <c r="H370" i="1" s="1"/>
  <c r="D369" i="1"/>
  <c r="H369" i="1" s="1"/>
  <c r="D368" i="1"/>
  <c r="H368" i="1" s="1"/>
  <c r="F367" i="1"/>
  <c r="F356" i="1"/>
  <c r="F355" i="1"/>
  <c r="H366" i="1" l="1"/>
  <c r="D365" i="1"/>
  <c r="H365" i="1" s="1"/>
  <c r="D364" i="1"/>
  <c r="H364" i="1" s="1"/>
  <c r="F363" i="1"/>
  <c r="D362" i="1"/>
  <c r="H362" i="1" s="1"/>
  <c r="D361" i="1"/>
  <c r="H361" i="1" s="1"/>
  <c r="D360" i="1"/>
  <c r="H360" i="1" s="1"/>
  <c r="D359" i="1"/>
  <c r="H359" i="1" s="1"/>
  <c r="D357" i="1"/>
  <c r="H357" i="1" s="1"/>
  <c r="D353" i="1"/>
  <c r="H353" i="1" s="1"/>
  <c r="D352" i="1"/>
  <c r="H352" i="1" s="1"/>
  <c r="H351" i="1"/>
  <c r="D350" i="1"/>
  <c r="H350" i="1" s="1"/>
  <c r="F348" i="1"/>
  <c r="D334" i="1"/>
  <c r="H334" i="1" s="1"/>
  <c r="D332" i="1"/>
  <c r="H332" i="1" s="1"/>
  <c r="D331" i="1"/>
  <c r="H331" i="1" s="1"/>
  <c r="F330" i="1"/>
  <c r="D329" i="1"/>
  <c r="H329" i="1" s="1"/>
  <c r="D328" i="1"/>
  <c r="H328" i="1" s="1"/>
  <c r="F327" i="1"/>
  <c r="D324" i="1"/>
  <c r="H324" i="1" s="1"/>
  <c r="F323" i="1"/>
  <c r="F304" i="1"/>
  <c r="D322" i="1"/>
  <c r="H322" i="1" s="1"/>
  <c r="D321" i="1"/>
  <c r="H321" i="1" s="1"/>
  <c r="H320" i="1"/>
  <c r="D319" i="1"/>
  <c r="H319" i="1" s="1"/>
  <c r="F317" i="1"/>
  <c r="D315" i="1"/>
  <c r="H315" i="1" s="1"/>
  <c r="D313" i="1"/>
  <c r="H313" i="1" s="1"/>
  <c r="D312" i="1"/>
  <c r="H312" i="1" s="1"/>
  <c r="F311" i="1"/>
  <c r="H367" i="1" l="1"/>
  <c r="H363" i="1"/>
  <c r="G363" i="1" s="1"/>
  <c r="H348" i="1"/>
  <c r="G348" i="1" s="1"/>
  <c r="H327" i="1"/>
  <c r="G327" i="1" s="1"/>
  <c r="H323" i="1"/>
  <c r="G323" i="1" s="1"/>
  <c r="H330" i="1"/>
  <c r="G330" i="1" s="1"/>
  <c r="H317" i="1"/>
  <c r="G317" i="1" s="1"/>
  <c r="H311" i="1"/>
  <c r="G311" i="1" s="1"/>
  <c r="F308" i="1"/>
  <c r="D310" i="1"/>
  <c r="H310" i="1" s="1"/>
  <c r="D309" i="1"/>
  <c r="H309" i="1" s="1"/>
  <c r="D305" i="1"/>
  <c r="H305" i="1" s="1"/>
  <c r="F298" i="1"/>
  <c r="D303" i="1"/>
  <c r="H303" i="1" s="1"/>
  <c r="D302" i="1"/>
  <c r="H302" i="1" s="1"/>
  <c r="H301" i="1"/>
  <c r="D300" i="1"/>
  <c r="H300" i="1" s="1"/>
  <c r="D296" i="1"/>
  <c r="H296" i="1" s="1"/>
  <c r="F291" i="1"/>
  <c r="D293" i="1"/>
  <c r="H293" i="1" s="1"/>
  <c r="G367" i="1" l="1"/>
  <c r="H304" i="1"/>
  <c r="G304" i="1" s="1"/>
  <c r="H356" i="1"/>
  <c r="G356" i="1" s="1"/>
  <c r="I327" i="1"/>
  <c r="I317" i="1"/>
  <c r="I330" i="1"/>
  <c r="I367" i="1"/>
  <c r="I348" i="1"/>
  <c r="I311" i="1"/>
  <c r="I323" i="1"/>
  <c r="I363" i="1"/>
  <c r="H355" i="1"/>
  <c r="G355" i="1" s="1"/>
  <c r="H308" i="1"/>
  <c r="G308" i="1" s="1"/>
  <c r="H291" i="1"/>
  <c r="G291" i="1" s="1"/>
  <c r="H298" i="1"/>
  <c r="G298" i="1" s="1"/>
  <c r="D200" i="1"/>
  <c r="H200" i="1" s="1"/>
  <c r="D199" i="1"/>
  <c r="H199" i="1" s="1"/>
  <c r="F198" i="1"/>
  <c r="H191" i="1"/>
  <c r="G191" i="1" s="1"/>
  <c r="D205" i="1"/>
  <c r="H205" i="1" s="1"/>
  <c r="D203" i="1"/>
  <c r="H203" i="1" s="1"/>
  <c r="D202" i="1"/>
  <c r="H202" i="1" s="1"/>
  <c r="F201" i="1"/>
  <c r="D195" i="1"/>
  <c r="H195" i="1" s="1"/>
  <c r="H194" i="1"/>
  <c r="F193" i="1"/>
  <c r="F191" i="1"/>
  <c r="F173" i="1"/>
  <c r="F185" i="1"/>
  <c r="F180" i="1"/>
  <c r="D184" i="1"/>
  <c r="H184" i="1" s="1"/>
  <c r="D182" i="1"/>
  <c r="H182" i="1" s="1"/>
  <c r="D181" i="1"/>
  <c r="H181" i="1" s="1"/>
  <c r="D178" i="1"/>
  <c r="H178" i="1" s="1"/>
  <c r="F175" i="1"/>
  <c r="I291" i="1" l="1"/>
  <c r="I191" i="1"/>
  <c r="H180" i="1"/>
  <c r="G180" i="1" s="1"/>
  <c r="I298" i="1"/>
  <c r="I308" i="1"/>
  <c r="I356" i="1"/>
  <c r="I355" i="1"/>
  <c r="I304" i="1"/>
  <c r="H185" i="1"/>
  <c r="G185" i="1" s="1"/>
  <c r="H198" i="1"/>
  <c r="G198" i="1" s="1"/>
  <c r="H201" i="1"/>
  <c r="G201" i="1" s="1"/>
  <c r="I289" i="1" l="1"/>
  <c r="I180" i="1"/>
  <c r="I201" i="1"/>
  <c r="I185" i="1"/>
  <c r="H193" i="1"/>
  <c r="G193" i="1" s="1"/>
  <c r="I198" i="1"/>
  <c r="I193" i="1" l="1"/>
  <c r="D177" i="1"/>
  <c r="H177" i="1" s="1"/>
  <c r="H176" i="1"/>
  <c r="F159" i="1"/>
  <c r="F155" i="1"/>
  <c r="D153" i="1"/>
  <c r="H153" i="1" s="1"/>
  <c r="D163" i="1"/>
  <c r="H163" i="1" s="1"/>
  <c r="D161" i="1"/>
  <c r="H161" i="1" s="1"/>
  <c r="D157" i="1"/>
  <c r="H157" i="1" s="1"/>
  <c r="H155" i="1" s="1"/>
  <c r="G155" i="1" s="1"/>
  <c r="F140" i="1"/>
  <c r="F135" i="1"/>
  <c r="F131" i="1"/>
  <c r="D144" i="1"/>
  <c r="H144" i="1" s="1"/>
  <c r="D142" i="1"/>
  <c r="H142" i="1" s="1"/>
  <c r="D141" i="1"/>
  <c r="H141" i="1" s="1"/>
  <c r="D139" i="1"/>
  <c r="H139" i="1" s="1"/>
  <c r="D137" i="1"/>
  <c r="H137" i="1" s="1"/>
  <c r="D136" i="1"/>
  <c r="H136" i="1" s="1"/>
  <c r="D129" i="1"/>
  <c r="H129" i="1" s="1"/>
  <c r="F120" i="1"/>
  <c r="F115" i="1"/>
  <c r="F94" i="1"/>
  <c r="D124" i="1"/>
  <c r="H124" i="1" s="1"/>
  <c r="D122" i="1"/>
  <c r="H122" i="1" s="1"/>
  <c r="D121" i="1"/>
  <c r="H121" i="1" s="1"/>
  <c r="D119" i="1"/>
  <c r="H119" i="1" s="1"/>
  <c r="D117" i="1"/>
  <c r="H117" i="1" s="1"/>
  <c r="D116" i="1"/>
  <c r="H116" i="1" s="1"/>
  <c r="D96" i="1"/>
  <c r="H96" i="1" s="1"/>
  <c r="F88" i="1"/>
  <c r="F83" i="1"/>
  <c r="F80" i="1"/>
  <c r="D92" i="1"/>
  <c r="H92" i="1" s="1"/>
  <c r="D90" i="1"/>
  <c r="H90" i="1" s="1"/>
  <c r="D89" i="1"/>
  <c r="H89" i="1" s="1"/>
  <c r="D87" i="1"/>
  <c r="H87" i="1" s="1"/>
  <c r="D85" i="1"/>
  <c r="H85" i="1" s="1"/>
  <c r="D84" i="1"/>
  <c r="H84" i="1" s="1"/>
  <c r="D82" i="1"/>
  <c r="H82" i="1" s="1"/>
  <c r="H174" i="1" l="1"/>
  <c r="H173" i="1" s="1"/>
  <c r="D168" i="1"/>
  <c r="H168" i="1" s="1"/>
  <c r="D166" i="1"/>
  <c r="H166" i="1" s="1"/>
  <c r="D167" i="1"/>
  <c r="H167" i="1" s="1"/>
  <c r="D165" i="1"/>
  <c r="H165" i="1" s="1"/>
  <c r="H128" i="1"/>
  <c r="G128" i="1" s="1"/>
  <c r="F128" i="1"/>
  <c r="H152" i="1"/>
  <c r="G152" i="1" s="1"/>
  <c r="F152" i="1"/>
  <c r="H175" i="1"/>
  <c r="H94" i="1"/>
  <c r="G94" i="1" s="1"/>
  <c r="D171" i="1"/>
  <c r="H171" i="1" s="1"/>
  <c r="F170" i="1"/>
  <c r="H115" i="1"/>
  <c r="G115" i="1" s="1"/>
  <c r="H80" i="1"/>
  <c r="G80" i="1" s="1"/>
  <c r="H88" i="1"/>
  <c r="G88" i="1" s="1"/>
  <c r="I131" i="1"/>
  <c r="H120" i="1"/>
  <c r="G120" i="1" s="1"/>
  <c r="H159" i="1"/>
  <c r="G159" i="1" s="1"/>
  <c r="H83" i="1"/>
  <c r="G83" i="1" s="1"/>
  <c r="F164" i="1"/>
  <c r="H135" i="1"/>
  <c r="G135" i="1" s="1"/>
  <c r="H140" i="1"/>
  <c r="G140" i="1" s="1"/>
  <c r="G173" i="1" l="1"/>
  <c r="I173" i="1"/>
  <c r="G175" i="1"/>
  <c r="I152" i="1"/>
  <c r="I159" i="1"/>
  <c r="I175" i="1"/>
  <c r="I155" i="1"/>
  <c r="H170" i="1"/>
  <c r="G170" i="1" s="1"/>
  <c r="I115" i="1"/>
  <c r="I94" i="1"/>
  <c r="I120" i="1"/>
  <c r="I88" i="1"/>
  <c r="I140" i="1"/>
  <c r="H164" i="1"/>
  <c r="G164" i="1" s="1"/>
  <c r="I128" i="1"/>
  <c r="I80" i="1"/>
  <c r="I83" i="1"/>
  <c r="I135" i="1"/>
  <c r="I164" i="1" l="1"/>
  <c r="I170" i="1"/>
  <c r="F76" i="1"/>
  <c r="D78" i="1"/>
  <c r="H78" i="1" s="1"/>
  <c r="H76" i="1" l="1"/>
  <c r="F65" i="1"/>
  <c r="F70" i="1"/>
  <c r="D74" i="1"/>
  <c r="H74" i="1" s="1"/>
  <c r="D72" i="1"/>
  <c r="H72" i="1" s="1"/>
  <c r="D71" i="1"/>
  <c r="H71" i="1" s="1"/>
  <c r="D69" i="1"/>
  <c r="H69" i="1" s="1"/>
  <c r="D67" i="1"/>
  <c r="H67" i="1" s="1"/>
  <c r="D66" i="1"/>
  <c r="H66" i="1" s="1"/>
  <c r="F62" i="1"/>
  <c r="D63" i="1"/>
  <c r="H63" i="1" s="1"/>
  <c r="F59" i="1"/>
  <c r="D61" i="1"/>
  <c r="H61" i="1" s="1"/>
  <c r="F53" i="1"/>
  <c r="D57" i="1"/>
  <c r="H57" i="1" s="1"/>
  <c r="D55" i="1"/>
  <c r="H55" i="1" s="1"/>
  <c r="D54" i="1"/>
  <c r="H54" i="1" s="1"/>
  <c r="D38" i="1"/>
  <c r="H38" i="1" s="1"/>
  <c r="D27" i="1"/>
  <c r="H27" i="1" s="1"/>
  <c r="D30" i="1"/>
  <c r="H30" i="1" s="1"/>
  <c r="D28" i="1"/>
  <c r="H28" i="1" s="1"/>
  <c r="D47" i="1"/>
  <c r="H47" i="1" s="1"/>
  <c r="F45" i="1"/>
  <c r="D46" i="1"/>
  <c r="H46" i="1" s="1"/>
  <c r="D41" i="1"/>
  <c r="H41" i="1" s="1"/>
  <c r="D43" i="1"/>
  <c r="H43" i="1" s="1"/>
  <c r="D40" i="1"/>
  <c r="H40" i="1" s="1"/>
  <c r="F39" i="1"/>
  <c r="G76" i="1" l="1"/>
  <c r="H39" i="1"/>
  <c r="G39" i="1" s="1"/>
  <c r="I76" i="1"/>
  <c r="H59" i="1"/>
  <c r="G59" i="1" s="1"/>
  <c r="H65" i="1"/>
  <c r="G65" i="1" s="1"/>
  <c r="H62" i="1"/>
  <c r="G62" i="1" s="1"/>
  <c r="H53" i="1"/>
  <c r="G53" i="1" s="1"/>
  <c r="H70" i="1"/>
  <c r="G70" i="1" s="1"/>
  <c r="H45" i="1"/>
  <c r="G45" i="1" s="1"/>
  <c r="I53" i="1" l="1"/>
  <c r="I59" i="1"/>
  <c r="I70" i="1"/>
  <c r="I65" i="1"/>
  <c r="I62" i="1"/>
  <c r="I45" i="1"/>
  <c r="I39" i="1"/>
  <c r="F35" i="1" l="1"/>
  <c r="D33" i="1"/>
  <c r="H33" i="1" s="1"/>
  <c r="H32" i="1" l="1"/>
  <c r="G32" i="1" s="1"/>
  <c r="F32" i="1"/>
  <c r="I32" i="1" l="1"/>
  <c r="D36" i="1"/>
  <c r="H36" i="1" s="1"/>
  <c r="F22" i="1"/>
  <c r="F26" i="1"/>
  <c r="D25" i="1"/>
  <c r="H25" i="1" s="1"/>
  <c r="D23" i="1"/>
  <c r="H23" i="1" s="1"/>
  <c r="F18" i="1"/>
  <c r="D20" i="1"/>
  <c r="H20" i="1" s="1"/>
  <c r="F15" i="1"/>
  <c r="D17" i="1"/>
  <c r="H17" i="1" s="1"/>
  <c r="D14" i="1"/>
  <c r="H14" i="1" s="1"/>
  <c r="F11" i="1"/>
  <c r="D12" i="1"/>
  <c r="H12" i="1" s="1"/>
  <c r="F702" i="1" l="1"/>
  <c r="H26" i="1"/>
  <c r="G26" i="1" s="1"/>
  <c r="H22" i="1"/>
  <c r="G22" i="1" s="1"/>
  <c r="H18" i="1"/>
  <c r="G18" i="1" s="1"/>
  <c r="H15" i="1"/>
  <c r="G15" i="1" s="1"/>
  <c r="H11" i="1"/>
  <c r="G11" i="1" s="1"/>
  <c r="I15" i="1" l="1"/>
  <c r="H35" i="1"/>
  <c r="H702" i="1" s="1"/>
  <c r="I18" i="1"/>
  <c r="I26" i="1"/>
  <c r="I11" i="1"/>
  <c r="G35" i="1" l="1"/>
  <c r="I35" i="1"/>
  <c r="I22" i="1"/>
  <c r="I10" i="1" l="1"/>
  <c r="I702" i="1" s="1"/>
  <c r="I703" i="1" l="1"/>
  <c r="I704" i="1" s="1"/>
  <c r="I705" i="1" s="1"/>
</calcChain>
</file>

<file path=xl/comments1.xml><?xml version="1.0" encoding="utf-8"?>
<comments xmlns="http://schemas.openxmlformats.org/spreadsheetml/2006/main">
  <authors>
    <author>Автор</author>
  </authors>
  <commentList>
    <comment ref="D13" authorId="0" shapeId="0">
      <text>
        <r>
          <rPr>
            <sz val="9"/>
            <color indexed="81"/>
            <rFont val="Tahoma"/>
            <charset val="1"/>
          </rPr>
          <t>коефіцієнт витрат 2%</t>
        </r>
      </text>
    </comment>
    <comment ref="D34" authorId="0" shapeId="0">
      <text>
        <r>
          <rPr>
            <sz val="9"/>
            <color indexed="81"/>
            <rFont val="Tahoma"/>
            <charset val="1"/>
          </rPr>
          <t xml:space="preserve">расход 5 кг/мКв
</t>
        </r>
      </text>
    </comment>
    <comment ref="D64" authorId="0" shapeId="0">
      <text>
        <r>
          <rPr>
            <sz val="9"/>
            <color indexed="81"/>
            <rFont val="Tahoma"/>
            <charset val="1"/>
          </rPr>
          <t>расход 5 кг</t>
        </r>
      </text>
    </comment>
    <comment ref="D154" authorId="0" shapeId="0">
      <text>
        <r>
          <rPr>
            <sz val="9"/>
            <color indexed="81"/>
            <rFont val="Tahoma"/>
            <charset val="1"/>
          </rPr>
          <t xml:space="preserve">расход 5 кг
</t>
        </r>
      </text>
    </comment>
    <comment ref="D172" authorId="0" shapeId="0">
      <text>
        <r>
          <rPr>
            <sz val="9"/>
            <color indexed="81"/>
            <rFont val="Tahoma"/>
            <charset val="1"/>
          </rPr>
          <t>расход 5 кг</t>
        </r>
      </text>
    </comment>
    <comment ref="D292" authorId="0" shapeId="0">
      <text>
        <r>
          <rPr>
            <sz val="9"/>
            <color indexed="81"/>
            <rFont val="Tahoma"/>
            <charset val="1"/>
          </rPr>
          <t xml:space="preserve">ЕН15-47-1 Високоякiсне штукатурення стін по каменю гіпсовими сумішами МП-75 з механізованим нанесенням суміші штукатурними станціями потужністю 5,5 кВт, продуктивністю 5-85 л/хв, при товщині шару штукатурки 20 мм
</t>
        </r>
      </text>
    </comment>
  </commentList>
</comments>
</file>

<file path=xl/sharedStrings.xml><?xml version="1.0" encoding="utf-8"?>
<sst xmlns="http://schemas.openxmlformats.org/spreadsheetml/2006/main" count="1559" uniqueCount="396">
  <si>
    <t>№ з/п</t>
  </si>
  <si>
    <t>Найменування робіт та матеріалів</t>
  </si>
  <si>
    <t>Од. вим.</t>
  </si>
  <si>
    <t>Кількість</t>
  </si>
  <si>
    <t>Вартість, грн</t>
  </si>
  <si>
    <t>за од.</t>
  </si>
  <si>
    <t>всього</t>
  </si>
  <si>
    <t>ПІДЛОГИ</t>
  </si>
  <si>
    <t>м2</t>
  </si>
  <si>
    <t>Влаштування підлоги в кімнаті конс'єржа</t>
  </si>
  <si>
    <t>Влаштування підлоги в санвузлі конс'єржа</t>
  </si>
  <si>
    <t>Влаштування підлоги міжповерхових площадок та сходових маршів</t>
  </si>
  <si>
    <t>м.п.</t>
  </si>
  <si>
    <t>Влаштування підлог холодних переходів</t>
  </si>
  <si>
    <t>Влаштування підлог вестибюля, коридора, ліфтового хола та колясочної (1-й пов.)</t>
  </si>
  <si>
    <t>Ліфтовий хол, тамбур та холодний перехід підвального поверху</t>
  </si>
  <si>
    <t>Влаштування підлоги паркінгу</t>
  </si>
  <si>
    <t xml:space="preserve"> - бітумний праймер;</t>
  </si>
  <si>
    <t xml:space="preserve"> - рулонна гідроізоляція типу "ЕПП" в 1 шар;</t>
  </si>
  <si>
    <t xml:space="preserve"> - наливна промислова підлога на полімерній основі</t>
  </si>
  <si>
    <t>Технічні коридори підвального поверху</t>
  </si>
  <si>
    <t>Приміщення ІТП, насосної та припливної венткамери</t>
  </si>
  <si>
    <t>СТІНИ</t>
  </si>
  <si>
    <t>Житлові кімнати, кухні, коридори та гардеробні</t>
  </si>
  <si>
    <t>Кімната конс'єржа</t>
  </si>
  <si>
    <t>Санвузол конс'єржа</t>
  </si>
  <si>
    <t>Сходові клітини (Тип 1)</t>
  </si>
  <si>
    <t>Сходові клітини (Тип 2) зі сторони квартир для секції 301, 304 та в підвалі секції 302, 303</t>
  </si>
  <si>
    <t>Влаштування підлог коридорів, ліфтових холів (2÷25 пов.)</t>
  </si>
  <si>
    <t>шт</t>
  </si>
  <si>
    <t>Коридори, ліфтові холи підвального поверху</t>
  </si>
  <si>
    <t>ІТП, насосна</t>
  </si>
  <si>
    <t>Електрощитові, венткамери, технічні коридори, тамбури</t>
  </si>
  <si>
    <t>Стіни паркінгу</t>
  </si>
  <si>
    <t>Пілони паркінгу</t>
  </si>
  <si>
    <t>СТЕЛІ</t>
  </si>
  <si>
    <t>Комори підвального поверху (тип 1) (секція 304 та другий рівень секції 301)</t>
  </si>
  <si>
    <t>Міжповерхові площадки та сходові марші</t>
  </si>
  <si>
    <t>Вестибюль, коридор, ліфтовий хол, колясочна (1-й поверх)</t>
  </si>
  <si>
    <t>Коридор та холодний перехід підвального поверху</t>
  </si>
  <si>
    <t>ІТП, насосна, припливні та витяжні венткамери підвального поверху</t>
  </si>
  <si>
    <t>Електрощитові підвального поверху</t>
  </si>
  <si>
    <t>Приміщення паркінгу</t>
  </si>
  <si>
    <t>Кімната та санвузол конс'єржа</t>
  </si>
  <si>
    <t>КОМЕРЦІЙНА ПРОПОЗИЦІЯ</t>
  </si>
  <si>
    <t>щодо влаштування внутрішнього оздоблення</t>
  </si>
  <si>
    <t>по об`єкту: "Будівництво житлового комплексу з торгово-офісними об'єктами та паркінгом на вул. Сурикова, 3 у Солом'янському районі м. Києва. Друга черга будівництва."</t>
  </si>
  <si>
    <t>кг</t>
  </si>
  <si>
    <r>
      <t>Коридор, тамбур, ліфтовий хол (2</t>
    </r>
    <r>
      <rPr>
        <b/>
        <sz val="11"/>
        <color theme="1"/>
        <rFont val="Times New Roman"/>
        <family val="1"/>
        <charset val="204"/>
      </rPr>
      <t>÷</t>
    </r>
    <r>
      <rPr>
        <b/>
        <i/>
        <sz val="11"/>
        <color theme="1"/>
        <rFont val="Times New Roman"/>
        <family val="1"/>
        <charset val="204"/>
      </rPr>
      <t>25 поверхи)</t>
    </r>
  </si>
  <si>
    <r>
      <t>Коридор, тамбур, ліфтовий хол (2</t>
    </r>
    <r>
      <rPr>
        <b/>
        <sz val="11"/>
        <color theme="1"/>
        <rFont val="Times New Roman"/>
        <family val="1"/>
        <charset val="204"/>
      </rPr>
      <t>÷</t>
    </r>
    <r>
      <rPr>
        <b/>
        <i/>
        <sz val="11"/>
        <color theme="1"/>
        <rFont val="Times New Roman"/>
        <family val="1"/>
        <charset val="204"/>
      </rPr>
      <t>25 пов.)</t>
    </r>
  </si>
  <si>
    <t xml:space="preserve"> - пісок річковий митий</t>
  </si>
  <si>
    <t>т</t>
  </si>
  <si>
    <t>Грунтуюча суміш, Master Inner</t>
  </si>
  <si>
    <t>Клеюча суміш для плитки Baumit Medio</t>
  </si>
  <si>
    <t>Влаштування гідроізоляції обмазувальної на підлогу в санвузлі конс'єржа, в 2 шари</t>
  </si>
  <si>
    <t>Влаштування цементно-пісчаної стяжки підлоги в житлових кімнатах, коридорах, гардеробних та кухнях, t=75мм, з укладанням ППЕ 5мм</t>
  </si>
  <si>
    <t>Влаштування цементно-пісчаної стяжки підлоги в коморах підвального поверху, t=75мм</t>
  </si>
  <si>
    <t>Влаштування цементно-пісчаної стяжки підлоги в коморах житлових поверхів, t=75мм</t>
  </si>
  <si>
    <t>Влаштування цементно-пісчаної стяжки підлоги в санвузлі конс'єржа t=60мм, з укладанням ППЕ 5мм</t>
  </si>
  <si>
    <t xml:space="preserve"> - обмазувальна полімер-цементна гідроізоляція, типу Ceresit CR-65</t>
  </si>
  <si>
    <t>Влаштування цементно-пісчаної стяжки підлоги t=75мм, з укладанням ППЕ 5мм</t>
  </si>
  <si>
    <t>Укладання плиток керамічних на підлогу</t>
  </si>
  <si>
    <t>1</t>
  </si>
  <si>
    <t>5</t>
  </si>
  <si>
    <t>2</t>
  </si>
  <si>
    <t>3</t>
  </si>
  <si>
    <t>4</t>
  </si>
  <si>
    <t>6</t>
  </si>
  <si>
    <t>7</t>
  </si>
  <si>
    <t>4.1</t>
  </si>
  <si>
    <t>4.2</t>
  </si>
  <si>
    <t>5.1</t>
  </si>
  <si>
    <t>5.2</t>
  </si>
  <si>
    <t>5.3</t>
  </si>
  <si>
    <t>Фарбування підлоги емалевою фарбою (колір - сірий)</t>
  </si>
  <si>
    <t>Укладання плінтусу з керамічної плитки (типу "ГРЕС", "Cersanit Х200")</t>
  </si>
  <si>
    <t xml:space="preserve"> Фарба для підлог АК-11</t>
  </si>
  <si>
    <t>6.1.</t>
  </si>
  <si>
    <t xml:space="preserve"> Укладання плінтусу з керамічної плитки, h=100мм (типу "ГРЕС", "Cersanit Х200")</t>
  </si>
  <si>
    <t>Влаштування обмазувальної полімер-цементної гідроізоляції в 2 шари</t>
  </si>
  <si>
    <t>Влаштування ц/п стяжки підлоги М150, ухилоутворюючої, t=60-70мм</t>
  </si>
  <si>
    <t xml:space="preserve"> Укладання керамічної плитки на підлогу на клей морозостійкий </t>
  </si>
  <si>
    <t>7.1</t>
  </si>
  <si>
    <t>7.2</t>
  </si>
  <si>
    <t>7.3</t>
  </si>
  <si>
    <t>7.4</t>
  </si>
  <si>
    <t xml:space="preserve"> пісок річковий митий</t>
  </si>
  <si>
    <t xml:space="preserve"> плитка керамічна типу  (типу "грес", "Cersanit Х200")</t>
  </si>
  <si>
    <t>8</t>
  </si>
  <si>
    <t>8.1</t>
  </si>
  <si>
    <t>9</t>
  </si>
  <si>
    <t>9.1</t>
  </si>
  <si>
    <t>9.2</t>
  </si>
  <si>
    <t>9.3</t>
  </si>
  <si>
    <t>10</t>
  </si>
  <si>
    <t>10.1</t>
  </si>
  <si>
    <t>10.2</t>
  </si>
  <si>
    <t>10.3</t>
  </si>
  <si>
    <t>Керамічна плитка на клею, t=15мм (ATEM, STELLA YL, 300×300мм)</t>
  </si>
  <si>
    <t xml:space="preserve"> Влаштування ц/п стяжки М150, t=75мм</t>
  </si>
  <si>
    <t xml:space="preserve">  Укладання плінтусу з керамічної плитки, h=100мм (типу "ГРЕС", "Cersanit Х200")</t>
  </si>
  <si>
    <t>Укладання плінтусу з керамічної плитки, h=100мм (типу "ГРЕС", "Cersanit Х200")</t>
  </si>
  <si>
    <t xml:space="preserve"> Укладання керамічної плитки на підлогу (типу "ГРЕС", "Cersanit  Х200")</t>
  </si>
  <si>
    <t>Укладання керамічної плитки на підлогу (типу "ГРЕС", "Cersanit Х200")</t>
  </si>
  <si>
    <t>Влаштування обмазувальної полімер-цементної гідроізоляція в 2 шари</t>
  </si>
  <si>
    <t>Укладання керамічної плитки на клею (типу "ГРЕС", "Cersanit Х200")</t>
  </si>
  <si>
    <t xml:space="preserve"> обмазувальна полімер-цементна гідроізоляція, типу Ceresit CR-65</t>
  </si>
  <si>
    <t xml:space="preserve"> шумоізоляція ПЕ, t=5мм</t>
  </si>
  <si>
    <t xml:space="preserve"> Піщана засипка t=50мм</t>
  </si>
  <si>
    <t xml:space="preserve"> Влаштування ц/п стяжки М150, армованої сіткою, ухилоутворюючої, t=60÷100мм</t>
  </si>
  <si>
    <t xml:space="preserve"> відсічки з ЕППС, t=20мм по периметру приміщення</t>
  </si>
  <si>
    <t>м3</t>
  </si>
  <si>
    <t>11</t>
  </si>
  <si>
    <t>11.1</t>
  </si>
  <si>
    <t>11.2</t>
  </si>
  <si>
    <t>11.3</t>
  </si>
  <si>
    <t>11.4</t>
  </si>
  <si>
    <t xml:space="preserve"> Влаштування ц/п стяжки М150, армованої сіткою, t=60мм</t>
  </si>
  <si>
    <t>12</t>
  </si>
  <si>
    <t>12.1</t>
  </si>
  <si>
    <t>12.2</t>
  </si>
  <si>
    <t>12.3</t>
  </si>
  <si>
    <t>12.4</t>
  </si>
  <si>
    <t>13</t>
  </si>
  <si>
    <t>13.1</t>
  </si>
  <si>
    <t>13.2</t>
  </si>
  <si>
    <t>13.3</t>
  </si>
  <si>
    <t>13.4</t>
  </si>
  <si>
    <t>13.5</t>
  </si>
  <si>
    <t>14</t>
  </si>
  <si>
    <t>14.1</t>
  </si>
  <si>
    <t>14.2</t>
  </si>
  <si>
    <t>14.3</t>
  </si>
  <si>
    <t>Knauf - Грундирміттель (15 кг)</t>
  </si>
  <si>
    <t>Рейка штукатурна "Маяк"</t>
  </si>
  <si>
    <t>Сітка штукатурна</t>
  </si>
  <si>
    <t>Штукатурна суміш Knauf МР-75 (30 кг)</t>
  </si>
  <si>
    <t>Кутник мокрих штукатурок 3м ПВХ</t>
  </si>
  <si>
    <t>15</t>
  </si>
  <si>
    <t>15.1</t>
  </si>
  <si>
    <t xml:space="preserve"> Оштукатурення стін гіпсовою штукатуркою типу Knauf MP-75</t>
  </si>
  <si>
    <t>Шпаклівка гіпсова Knauf  Мультифініш, 25 кг</t>
  </si>
  <si>
    <t xml:space="preserve"> Шпаклювання стін гіпсовою шпаклівкою</t>
  </si>
  <si>
    <t>Фарбування стін водоемульсійними фарбами, за два рази</t>
  </si>
  <si>
    <t>л</t>
  </si>
  <si>
    <t>Фарба водоемульсфйна,"Фасад профі економ", 10 л</t>
  </si>
  <si>
    <t>Сітка штукатурна, 50 м2, 125гр</t>
  </si>
  <si>
    <t xml:space="preserve">Укладання керамічної плитки на стіни </t>
  </si>
  <si>
    <t xml:space="preserve"> плитка керамічна типу "MEGA TILE JK 4717"</t>
  </si>
  <si>
    <t>16</t>
  </si>
  <si>
    <t>16.1</t>
  </si>
  <si>
    <t>16.2</t>
  </si>
  <si>
    <t>16.3</t>
  </si>
  <si>
    <t>17</t>
  </si>
  <si>
    <t>17.1</t>
  </si>
  <si>
    <t>17.2</t>
  </si>
  <si>
    <t>17.4</t>
  </si>
  <si>
    <t>17.3</t>
  </si>
  <si>
    <t>18</t>
  </si>
  <si>
    <t>18.1</t>
  </si>
  <si>
    <t xml:space="preserve"> Нанесення декоративної штукатурки типу "Американка" (колір за окремим погодженням, згідно дизайн-проекту)</t>
  </si>
  <si>
    <t xml:space="preserve">Грунтуюча суміш </t>
  </si>
  <si>
    <t>Клеюча суміш для мінераловатних плит типу Бауміт Проконтакт</t>
  </si>
  <si>
    <t>шт.</t>
  </si>
  <si>
    <t>Склосітка типу Бауміт Стартекс</t>
  </si>
  <si>
    <t>Баумит УниПраймер Универсальная грунтующая смесь, 25кг.</t>
  </si>
  <si>
    <t>Армування клеєвою сумішшю по сітці</t>
  </si>
  <si>
    <t>Дюбель 10х160мм, з подовженою розпірною базою, зі сталевим оцинкованим цвяхом та пластиковою голівкою</t>
  </si>
  <si>
    <t>19</t>
  </si>
  <si>
    <t>19.1</t>
  </si>
  <si>
    <t>19.2</t>
  </si>
  <si>
    <t>19.3</t>
  </si>
  <si>
    <t>Фуга для плитки Ceresit CE 33</t>
  </si>
  <si>
    <t>20</t>
  </si>
  <si>
    <t>20.1</t>
  </si>
  <si>
    <t>21.1</t>
  </si>
  <si>
    <t>Штукатурна суміш цементно-вапняна Baumit MPI-25 (25 кг)</t>
  </si>
  <si>
    <t xml:space="preserve"> Оштукатурення стін цементно-вапняною штукатуркою типу Baumit MPI25</t>
  </si>
  <si>
    <t xml:space="preserve"> Фарбування стін на висоту 1,2м від рівня підлоги фарбою ПФ 115 (колір - сірий)</t>
  </si>
  <si>
    <t xml:space="preserve"> Фарбування стін на висоту вище 1,2м від рівня підлоги водоемульсійною фарбою (колір - білий)</t>
  </si>
  <si>
    <t>Фарба ПФ 115</t>
  </si>
  <si>
    <t>22.1</t>
  </si>
  <si>
    <t>22.2</t>
  </si>
  <si>
    <t>22.3</t>
  </si>
  <si>
    <t>22.4</t>
  </si>
  <si>
    <t>21</t>
  </si>
  <si>
    <t>22</t>
  </si>
  <si>
    <t>23</t>
  </si>
  <si>
    <t>23.1</t>
  </si>
  <si>
    <t>23.2</t>
  </si>
  <si>
    <t>23.3</t>
  </si>
  <si>
    <t>23.4</t>
  </si>
  <si>
    <t>24</t>
  </si>
  <si>
    <t>24.1</t>
  </si>
  <si>
    <t>25</t>
  </si>
  <si>
    <t>25.1</t>
  </si>
  <si>
    <t xml:space="preserve"> Шпаклювання колон гіпсовою шпаклівкою</t>
  </si>
  <si>
    <t xml:space="preserve"> Фарбування стін водоемульсійною фарбою</t>
  </si>
  <si>
    <t xml:space="preserve"> Фарбування колон водоемульсійною фарбою</t>
  </si>
  <si>
    <t>26</t>
  </si>
  <si>
    <t>26.1</t>
  </si>
  <si>
    <t xml:space="preserve"> Монтаж мінераловатних плит на стелі (135кг/м3), t=50мм</t>
  </si>
  <si>
    <t xml:space="preserve"> Шпаклювання стель гіпсовою шпаклівкою</t>
  </si>
  <si>
    <t xml:space="preserve"> Фарбування стель водоемульсійною фарбою</t>
  </si>
  <si>
    <t>Монтаж мінераловатних плит на стелі (135кг/м3), t=50мм</t>
  </si>
  <si>
    <t>27</t>
  </si>
  <si>
    <t>27.1</t>
  </si>
  <si>
    <t>27.2</t>
  </si>
  <si>
    <t>28</t>
  </si>
  <si>
    <t>Монтаж багетів на стелі</t>
  </si>
  <si>
    <t>Багет з ППС</t>
  </si>
  <si>
    <t>Листи ГКЛ</t>
  </si>
  <si>
    <t>Профіля для ГКЛ</t>
  </si>
  <si>
    <r>
      <t xml:space="preserve">Обшивання з/б балок: </t>
    </r>
    <r>
      <rPr>
        <b/>
        <i/>
        <sz val="10"/>
        <rFont val="Times New Roman"/>
        <family val="1"/>
        <charset val="204"/>
      </rPr>
      <t xml:space="preserve"> ГКЛ по системі металевих профілів.</t>
    </r>
  </si>
  <si>
    <t>гіпсокартон  2000х1200 12 мм (вологостійкий)</t>
  </si>
  <si>
    <t>профіль СD L=3000</t>
  </si>
  <si>
    <t>профіль UD  L=3000</t>
  </si>
  <si>
    <t>саморіз по металу 3,5х9,5</t>
  </si>
  <si>
    <t>дюбель  (грибок) 6х40</t>
  </si>
  <si>
    <t>сітка серпянка 150 мм</t>
  </si>
  <si>
    <t>м/п</t>
  </si>
  <si>
    <t>Монтаж підвісної стелі з ГКЛ</t>
  </si>
  <si>
    <t>м</t>
  </si>
  <si>
    <t>Фугенфлюгер</t>
  </si>
  <si>
    <t xml:space="preserve"> Шпаклювання стель гіпсовою шпаклівкою за два рази</t>
  </si>
  <si>
    <t>28.1</t>
  </si>
  <si>
    <t>28.2</t>
  </si>
  <si>
    <t>28.3</t>
  </si>
  <si>
    <t>30.3</t>
  </si>
  <si>
    <t>30</t>
  </si>
  <si>
    <t>30.1</t>
  </si>
  <si>
    <t>30.2</t>
  </si>
  <si>
    <t>31</t>
  </si>
  <si>
    <t>31.1</t>
  </si>
  <si>
    <t>31.2</t>
  </si>
  <si>
    <t>31.3</t>
  </si>
  <si>
    <t>32.3</t>
  </si>
  <si>
    <t>32</t>
  </si>
  <si>
    <t>32.1</t>
  </si>
  <si>
    <t>32.2</t>
  </si>
  <si>
    <t xml:space="preserve"> Монтаж мінераловатних плит на стелі (135кг/м3), t=100мм</t>
  </si>
  <si>
    <t>33</t>
  </si>
  <si>
    <t>33.1</t>
  </si>
  <si>
    <t>33.2</t>
  </si>
  <si>
    <t>33.3</t>
  </si>
  <si>
    <t>34</t>
  </si>
  <si>
    <t>34.1</t>
  </si>
  <si>
    <t>34.2</t>
  </si>
  <si>
    <t>34.3</t>
  </si>
  <si>
    <t>35</t>
  </si>
  <si>
    <t>35.1</t>
  </si>
  <si>
    <t>35.2</t>
  </si>
  <si>
    <t>Шпаклівка гіпсова НР старт, 30 кг</t>
  </si>
  <si>
    <t>Всього, з ПДВ:</t>
  </si>
  <si>
    <t>Разом з ПДВ, грн.</t>
  </si>
  <si>
    <t>Накладні витрати 2,5% (транспорті витрати, витратний матеріал, вивезення будівельного сміття), грн.</t>
  </si>
  <si>
    <t>в т.ч. ПДВ (20%):</t>
  </si>
  <si>
    <t>Робіт, грн з ПДВ</t>
  </si>
  <si>
    <t>Матеріалів, грн. з ПДВ</t>
  </si>
  <si>
    <t>РАЗОМ, грн. з ПДВ</t>
  </si>
  <si>
    <t xml:space="preserve">Підрядник
ТОВ «БК «Гесем»
Директор 
____________________ Гаврилов О.О
</t>
  </si>
  <si>
    <t xml:space="preserve">Генеральний підрядник
ТОВ «БК «Інтергал-Буд»
Директор з капітального будівництва                                                              
 _____________________  Білінський М.А.
</t>
  </si>
  <si>
    <t xml:space="preserve">Плівка захисна із клейкою стрічкою типу Speedy Mask </t>
  </si>
  <si>
    <t>Монтаж мінераловатних плит на стіни (135кг/м3), t=50мм</t>
  </si>
  <si>
    <t>Knauf - Бетоноконтакт (20 кг)</t>
  </si>
  <si>
    <t>36</t>
  </si>
  <si>
    <t>36.1</t>
  </si>
  <si>
    <t>36.2</t>
  </si>
  <si>
    <t>36.3</t>
  </si>
  <si>
    <t>Влаштування обмазувальної полімер-цементної гідроізоляції в 2 шари (напуск на стіни h=300 мм)</t>
  </si>
  <si>
    <t>Коридори підвального поверху на відм. -3.500</t>
  </si>
  <si>
    <t xml:space="preserve"> Укладання плінтусу з керамічної плитки, h=150мм (типу "ГРЕС", "Cersanit Х200")</t>
  </si>
  <si>
    <t>Комори технічного поверху секції 302, 303:</t>
  </si>
  <si>
    <t>пароізоляційна плівка 100г/м2</t>
  </si>
  <si>
    <t>Укладання пароізоляційної плівки 100г/м2</t>
  </si>
  <si>
    <t>Утеплення плитами ЕППС, t=50мм</t>
  </si>
  <si>
    <t>утеплювач з плит ЕППС, t=50 мм</t>
  </si>
  <si>
    <t>Укладання гідроізоляційної плівки</t>
  </si>
  <si>
    <t>гідроізоляційна плівка</t>
  </si>
  <si>
    <t>Коридор технічного поверху секції 302, 303 (над МЗК)</t>
  </si>
  <si>
    <t>Коридор технічного поверху секції 302, 303 (над житловими приміщеннями)</t>
  </si>
  <si>
    <t>Машинне приміщення ліфтів та електрощитові (дахова надбудова)</t>
  </si>
  <si>
    <t>Вхідні групи в секції будинку</t>
  </si>
  <si>
    <t xml:space="preserve"> Влаштування ц/п стяжки М150, ухилоутворюючої, t=60-65мм</t>
  </si>
  <si>
    <t>Коридори технічного поверху секцій 301, 304 (дахова надбудова)</t>
  </si>
  <si>
    <t>15.2</t>
  </si>
  <si>
    <t>15.3</t>
  </si>
  <si>
    <t>15.4</t>
  </si>
  <si>
    <t>14.4</t>
  </si>
  <si>
    <t>17.5</t>
  </si>
  <si>
    <t>17.6</t>
  </si>
  <si>
    <t>18.2</t>
  </si>
  <si>
    <t>18.3</t>
  </si>
  <si>
    <t>20.2</t>
  </si>
  <si>
    <t>28.4</t>
  </si>
  <si>
    <t>29</t>
  </si>
  <si>
    <t>29.1</t>
  </si>
  <si>
    <t>29.2</t>
  </si>
  <si>
    <t>29.3</t>
  </si>
  <si>
    <t>29.4</t>
  </si>
  <si>
    <t>Екрани балкону</t>
  </si>
  <si>
    <t>Електрощитові, технічні коридори</t>
  </si>
  <si>
    <t xml:space="preserve"> Фарбування стін фарбою ПФ 115 (колір - сірий)</t>
  </si>
  <si>
    <t>Машинне приміщення ліфтів</t>
  </si>
  <si>
    <t>37</t>
  </si>
  <si>
    <t>37.1</t>
  </si>
  <si>
    <t>37.2</t>
  </si>
  <si>
    <t>37.3</t>
  </si>
  <si>
    <t>38</t>
  </si>
  <si>
    <t>38.1</t>
  </si>
  <si>
    <t>38.2</t>
  </si>
  <si>
    <t>38.3</t>
  </si>
  <si>
    <t>38.4</t>
  </si>
  <si>
    <t>39</t>
  </si>
  <si>
    <t>39.1</t>
  </si>
  <si>
    <t>39.2</t>
  </si>
  <si>
    <t>39.3</t>
  </si>
  <si>
    <t>40</t>
  </si>
  <si>
    <t>40.1</t>
  </si>
  <si>
    <t>40.2</t>
  </si>
  <si>
    <t>40.3</t>
  </si>
  <si>
    <t>40.4</t>
  </si>
  <si>
    <t>41</t>
  </si>
  <si>
    <t>41.1</t>
  </si>
  <si>
    <t>41.2</t>
  </si>
  <si>
    <t>41.3</t>
  </si>
  <si>
    <t>41.4</t>
  </si>
  <si>
    <t>42</t>
  </si>
  <si>
    <t>42.1</t>
  </si>
  <si>
    <t>42.2</t>
  </si>
  <si>
    <t>42.3</t>
  </si>
  <si>
    <t>42.4</t>
  </si>
  <si>
    <t>43</t>
  </si>
  <si>
    <t>43.1</t>
  </si>
  <si>
    <t>43.2</t>
  </si>
  <si>
    <t>43.3</t>
  </si>
  <si>
    <t>43.4</t>
  </si>
  <si>
    <t>44</t>
  </si>
  <si>
    <t>44.1</t>
  </si>
  <si>
    <t>44.2</t>
  </si>
  <si>
    <t>44.3</t>
  </si>
  <si>
    <t>44.4</t>
  </si>
  <si>
    <t>45</t>
  </si>
  <si>
    <t>45.1</t>
  </si>
  <si>
    <t>45.2</t>
  </si>
  <si>
    <t>Машинне відділення ліфтів (технічний поверх)</t>
  </si>
  <si>
    <t>Фарба водоемульсфйна,"Фасад профі економ", 10 л, білий колір</t>
  </si>
  <si>
    <t>Електрощитові (технічний поверх)</t>
  </si>
  <si>
    <t xml:space="preserve"> Фарбування стель фарбою ПФ 115 (колір - сірий)</t>
  </si>
  <si>
    <t>Утеплення підлоги плитами ЕППС, t=50мм</t>
  </si>
  <si>
    <t xml:space="preserve"> Влаштування ц/п стяжки М150, ухилоутворюючої, t=60 мм, армованої</t>
  </si>
  <si>
    <t xml:space="preserve"> Влаштування ц/п стяжки М150, ухилоутворюючої, t=60мм, армованої</t>
  </si>
  <si>
    <t xml:space="preserve"> Сітка армована ВР-1 ф3,0 100х100</t>
  </si>
  <si>
    <t>Приміщення венткамер та електрощитових (підвальний пов.). 301 (прим.7), 302, 303 (прим. 2,10), 304 (10)</t>
  </si>
  <si>
    <t xml:space="preserve"> Піщана засипка t=340мм</t>
  </si>
  <si>
    <t>клейка стрічка</t>
  </si>
  <si>
    <t xml:space="preserve"> Влаштування ц/п стяжки М150, t=60мм</t>
  </si>
  <si>
    <t>Рейка штукатурна "Маяк", 3м</t>
  </si>
  <si>
    <t>Шпаклівка гіпсова HP-Старт, 30 кг</t>
  </si>
  <si>
    <t>Дюбель 10х120мм, з подовженою розпірною базою, зі сталевим оцинкованим цвяхом та пластиковою голівкою</t>
  </si>
  <si>
    <t>26.2</t>
  </si>
  <si>
    <t>26.3</t>
  </si>
  <si>
    <t xml:space="preserve"> Улаштування сигнальної розмітки з пофарбованих смуг жовтого та чорного кольору висотою 1,2 м</t>
  </si>
  <si>
    <t>Клей для багету з ППС</t>
  </si>
  <si>
    <t>анкерний підвіс з зажимом для профілю 60х27</t>
  </si>
  <si>
    <t>дюбель анкерний</t>
  </si>
  <si>
    <t>шурупи LB для кріплення профілів між собою</t>
  </si>
  <si>
    <t xml:space="preserve"> Влаштування ц/п стяжки М150, t=70-80мм, армованої</t>
  </si>
  <si>
    <t xml:space="preserve"> Влаштування ц/п стяжки М150, t=60мм, армованої</t>
  </si>
  <si>
    <t xml:space="preserve"> Влаштування ц/п стяжки М150, t=130мм, армованої</t>
  </si>
  <si>
    <t>10.4</t>
  </si>
  <si>
    <t xml:space="preserve"> Піщана засипка t=460мм</t>
  </si>
  <si>
    <t>10.5</t>
  </si>
  <si>
    <t xml:space="preserve"> Піщана засипка t=100мм</t>
  </si>
  <si>
    <t>10.6</t>
  </si>
  <si>
    <t>10.7</t>
  </si>
  <si>
    <t>10.8</t>
  </si>
  <si>
    <t>10.9</t>
  </si>
  <si>
    <t>6.2</t>
  </si>
  <si>
    <t>6.3.</t>
  </si>
  <si>
    <t>11.5</t>
  </si>
  <si>
    <t>Колясочна</t>
  </si>
  <si>
    <t>24.2</t>
  </si>
  <si>
    <t>26.4</t>
  </si>
  <si>
    <t>30.4</t>
  </si>
  <si>
    <t>34.4</t>
  </si>
  <si>
    <t>35.3</t>
  </si>
  <si>
    <t>37.4</t>
  </si>
  <si>
    <t>Ліфтові холи цокольного поверху</t>
  </si>
  <si>
    <t>Коридор цокольного поверху (1й рівень секції 301)</t>
  </si>
  <si>
    <t>Коридори технічного поверху (секції 302, 303)</t>
  </si>
  <si>
    <t>Кутник малярний 3м ПВХ</t>
  </si>
  <si>
    <t>Багет з ППС, з клеэм</t>
  </si>
  <si>
    <t xml:space="preserve"> цемент ПЦЦ М400                    </t>
  </si>
  <si>
    <t xml:space="preserve">Мінераловатні плити Izovat 135 t=50мм (ρ=135кг/м3) </t>
  </si>
  <si>
    <t xml:space="preserve">Мінераловатні плити Izovat 135 t=100мм (ρ=135кг/м3)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</si>
</sst>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7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  <charset val="204"/>
    </font>
    <font>
      <i/>
      <sz val="11"/>
      <name val="Times New Roman"/>
      <family val="1"/>
      <charset val="204"/>
    </font>
    <font>
      <b/>
      <sz val="11"/>
      <color theme="1"/>
      <name val="Times New Roman"/>
      <family val="1"/>
      <charset val="204"/>
    </font>
    <font>
      <i/>
      <sz val="11"/>
      <color rgb="FF002060"/>
      <name val="Times New Roman"/>
      <family val="1"/>
      <charset val="204"/>
    </font>
    <font>
      <b/>
      <i/>
      <sz val="11"/>
      <color theme="1"/>
      <name val="Times New Roman"/>
      <family val="1"/>
      <charset val="204"/>
    </font>
    <font>
      <i/>
      <sz val="11"/>
      <color theme="1"/>
      <name val="Times New Roman"/>
      <family val="1"/>
      <charset val="204"/>
    </font>
    <font>
      <b/>
      <i/>
      <u/>
      <sz val="11"/>
      <color theme="1"/>
      <name val="Times New Roman"/>
      <family val="1"/>
      <charset val="204"/>
    </font>
    <font>
      <b/>
      <sz val="11"/>
      <color rgb="FF002060"/>
      <name val="Times New Roman"/>
      <family val="1"/>
      <charset val="204"/>
    </font>
    <font>
      <sz val="11"/>
      <color theme="1"/>
      <name val="Times New Roman"/>
      <family val="1"/>
      <charset val="204"/>
    </font>
    <font>
      <b/>
      <i/>
      <sz val="11"/>
      <color rgb="FFFF0000"/>
      <name val="Times New Roman"/>
      <family val="1"/>
      <charset val="204"/>
    </font>
    <font>
      <i/>
      <sz val="11"/>
      <color rgb="FFFF0000"/>
      <name val="Times New Roman"/>
      <family val="1"/>
      <charset val="204"/>
    </font>
    <font>
      <b/>
      <i/>
      <sz val="11"/>
      <color rgb="FF002060"/>
      <name val="Times New Roman"/>
      <family val="1"/>
      <charset val="204"/>
    </font>
    <font>
      <u/>
      <sz val="7"/>
      <color theme="10"/>
      <name val="Arial"/>
      <family val="2"/>
      <charset val="204"/>
    </font>
    <font>
      <sz val="11"/>
      <name val="Times New Roman"/>
      <family val="1"/>
      <charset val="204"/>
    </font>
    <font>
      <i/>
      <sz val="10"/>
      <name val="Tahoma"/>
      <family val="2"/>
      <charset val="204"/>
    </font>
    <font>
      <b/>
      <sz val="11"/>
      <name val="Times New Roman"/>
      <family val="1"/>
      <charset val="204"/>
    </font>
    <font>
      <sz val="11"/>
      <name val="Calibri"/>
      <family val="2"/>
      <charset val="204"/>
    </font>
    <font>
      <b/>
      <i/>
      <sz val="11"/>
      <name val="Times New Roman"/>
      <family val="1"/>
      <charset val="204"/>
    </font>
    <font>
      <b/>
      <i/>
      <sz val="10"/>
      <name val="Times New Roman"/>
      <family val="1"/>
      <charset val="204"/>
    </font>
    <font>
      <b/>
      <sz val="11"/>
      <name val="Calibri"/>
      <family val="2"/>
      <charset val="204"/>
    </font>
    <font>
      <sz val="10"/>
      <name val="Arial"/>
      <family val="2"/>
      <charset val="204"/>
    </font>
    <font>
      <sz val="12"/>
      <name val="Times New Roman"/>
      <family val="1"/>
      <charset val="204"/>
    </font>
    <font>
      <b/>
      <sz val="12"/>
      <name val="Times New Roman"/>
      <family val="1"/>
      <charset val="204"/>
    </font>
    <font>
      <sz val="12"/>
      <name val="Calibri"/>
      <family val="2"/>
      <charset val="204"/>
    </font>
    <font>
      <b/>
      <sz val="12"/>
      <name val="Calibri"/>
      <family val="2"/>
      <charset val="204"/>
    </font>
    <font>
      <sz val="9"/>
      <color indexed="81"/>
      <name val="Tahoma"/>
      <charset val="1"/>
    </font>
  </fonts>
  <fills count="7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</fills>
  <borders count="2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1" fillId="0" borderId="0"/>
    <xf numFmtId="0" fontId="13" fillId="0" borderId="0" applyNumberFormat="0" applyFill="0" applyBorder="0" applyAlignment="0" applyProtection="0">
      <alignment vertical="top"/>
      <protection locked="0"/>
    </xf>
    <xf numFmtId="0" fontId="21" fillId="0" borderId="0"/>
  </cellStyleXfs>
  <cellXfs count="207">
    <xf numFmtId="0" fontId="0" fillId="0" borderId="0" xfId="0"/>
    <xf numFmtId="0" fontId="6" fillId="2" borderId="0" xfId="0" applyFont="1" applyFill="1" applyAlignment="1">
      <alignment horizontal="center" vertical="center" wrapText="1"/>
    </xf>
    <xf numFmtId="49" fontId="6" fillId="2" borderId="0" xfId="0" applyNumberFormat="1" applyFont="1" applyFill="1" applyAlignment="1">
      <alignment horizontal="center" vertical="center" wrapText="1"/>
    </xf>
    <xf numFmtId="4" fontId="6" fillId="2" borderId="0" xfId="0" applyNumberFormat="1" applyFont="1" applyFill="1" applyAlignment="1">
      <alignment horizontal="right" vertical="center" wrapText="1"/>
    </xf>
    <xf numFmtId="4" fontId="6" fillId="2" borderId="0" xfId="0" applyNumberFormat="1" applyFont="1" applyFill="1" applyAlignment="1">
      <alignment horizontal="right" vertical="center" wrapText="1" indent="1"/>
    </xf>
    <xf numFmtId="0" fontId="5" fillId="2" borderId="0" xfId="0" applyFont="1" applyFill="1" applyAlignment="1">
      <alignment horizontal="center" vertical="center" wrapText="1"/>
    </xf>
    <xf numFmtId="0" fontId="2" fillId="2" borderId="1" xfId="0" applyFont="1" applyFill="1" applyBorder="1" applyAlignment="1">
      <alignment horizontal="right" vertical="top" wrapText="1"/>
    </xf>
    <xf numFmtId="0" fontId="2" fillId="2" borderId="1" xfId="0" applyFont="1" applyFill="1" applyBorder="1" applyAlignment="1">
      <alignment horizontal="center" vertical="center" wrapText="1"/>
    </xf>
    <xf numFmtId="4" fontId="2" fillId="2" borderId="1" xfId="1" applyNumberFormat="1" applyFont="1" applyFill="1" applyBorder="1" applyAlignment="1">
      <alignment horizontal="center" vertical="center" wrapText="1"/>
    </xf>
    <xf numFmtId="49" fontId="6" fillId="2" borderId="1" xfId="0" applyNumberFormat="1" applyFont="1" applyFill="1" applyBorder="1" applyAlignment="1">
      <alignment horizontal="center" vertical="center" wrapText="1"/>
    </xf>
    <xf numFmtId="4" fontId="6" fillId="2" borderId="1" xfId="0" applyNumberFormat="1" applyFont="1" applyFill="1" applyBorder="1" applyAlignment="1">
      <alignment horizontal="right" vertical="center" wrapText="1" indent="1"/>
    </xf>
    <xf numFmtId="49" fontId="5" fillId="2" borderId="1" xfId="0" applyNumberFormat="1" applyFont="1" applyFill="1" applyBorder="1" applyAlignment="1">
      <alignment horizontal="left" vertical="center" wrapText="1"/>
    </xf>
    <xf numFmtId="4" fontId="5" fillId="2" borderId="1" xfId="0" applyNumberFormat="1" applyFont="1" applyFill="1" applyBorder="1" applyAlignment="1">
      <alignment horizontal="right" vertical="center" wrapText="1"/>
    </xf>
    <xf numFmtId="4" fontId="5" fillId="2" borderId="1" xfId="0" applyNumberFormat="1" applyFont="1" applyFill="1" applyBorder="1" applyAlignment="1">
      <alignment horizontal="right" vertical="center" wrapText="1" indent="1"/>
    </xf>
    <xf numFmtId="49" fontId="6" fillId="2" borderId="1" xfId="0" applyNumberFormat="1" applyFont="1" applyFill="1" applyBorder="1" applyAlignment="1">
      <alignment horizontal="right" vertical="center" wrapText="1"/>
    </xf>
    <xf numFmtId="49" fontId="6" fillId="2" borderId="1" xfId="0" applyNumberFormat="1" applyFont="1" applyFill="1" applyBorder="1" applyAlignment="1">
      <alignment horizontal="left" vertical="center" wrapText="1" indent="3"/>
    </xf>
    <xf numFmtId="4" fontId="6" fillId="2" borderId="1" xfId="0" applyNumberFormat="1" applyFont="1" applyFill="1" applyBorder="1" applyAlignment="1">
      <alignment horizontal="center" vertical="center" wrapText="1"/>
    </xf>
    <xf numFmtId="4" fontId="4" fillId="2" borderId="1" xfId="1" applyNumberFormat="1" applyFont="1" applyFill="1" applyBorder="1" applyAlignment="1">
      <alignment horizontal="center" vertical="center"/>
    </xf>
    <xf numFmtId="0" fontId="4" fillId="2" borderId="0" xfId="1" applyFont="1" applyFill="1" applyAlignment="1">
      <alignment horizontal="center" vertical="center"/>
    </xf>
    <xf numFmtId="4" fontId="5" fillId="2" borderId="1" xfId="0" applyNumberFormat="1" applyFont="1" applyFill="1" applyBorder="1" applyAlignment="1">
      <alignment horizontal="center" vertical="center" wrapText="1"/>
    </xf>
    <xf numFmtId="49" fontId="6" fillId="2" borderId="2" xfId="0" applyNumberFormat="1" applyFont="1" applyFill="1" applyBorder="1" applyAlignment="1">
      <alignment horizontal="center" vertical="center" wrapText="1"/>
    </xf>
    <xf numFmtId="4" fontId="6" fillId="2" borderId="2" xfId="0" applyNumberFormat="1" applyFont="1" applyFill="1" applyBorder="1" applyAlignment="1">
      <alignment horizontal="right" vertical="center" wrapText="1" indent="1"/>
    </xf>
    <xf numFmtId="49" fontId="5" fillId="2" borderId="3" xfId="0" applyNumberFormat="1" applyFont="1" applyFill="1" applyBorder="1" applyAlignment="1">
      <alignment horizontal="center" vertical="center" wrapText="1"/>
    </xf>
    <xf numFmtId="49" fontId="5" fillId="2" borderId="3" xfId="0" applyNumberFormat="1" applyFont="1" applyFill="1" applyBorder="1" applyAlignment="1">
      <alignment horizontal="left" vertical="center" wrapText="1"/>
    </xf>
    <xf numFmtId="4" fontId="5" fillId="2" borderId="3" xfId="0" applyNumberFormat="1" applyFont="1" applyFill="1" applyBorder="1" applyAlignment="1">
      <alignment horizontal="right" vertical="center" wrapText="1"/>
    </xf>
    <xf numFmtId="4" fontId="5" fillId="2" borderId="3" xfId="0" applyNumberFormat="1" applyFont="1" applyFill="1" applyBorder="1" applyAlignment="1">
      <alignment horizontal="right" vertical="center" wrapText="1" indent="1"/>
    </xf>
    <xf numFmtId="0" fontId="2" fillId="0" borderId="1" xfId="1" applyFont="1" applyFill="1" applyBorder="1" applyAlignment="1">
      <alignment horizontal="right" vertical="center" wrapText="1"/>
    </xf>
    <xf numFmtId="0" fontId="2" fillId="0" borderId="1" xfId="1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right" vertical="top" wrapText="1"/>
    </xf>
    <xf numFmtId="0" fontId="2" fillId="2" borderId="2" xfId="0" applyFont="1" applyFill="1" applyBorder="1" applyAlignment="1">
      <alignment horizontal="center" vertical="center" wrapText="1"/>
    </xf>
    <xf numFmtId="4" fontId="2" fillId="2" borderId="2" xfId="1" applyNumberFormat="1" applyFont="1" applyFill="1" applyBorder="1" applyAlignment="1">
      <alignment horizontal="center" vertical="center" wrapText="1"/>
    </xf>
    <xf numFmtId="4" fontId="4" fillId="2" borderId="2" xfId="1" applyNumberFormat="1" applyFont="1" applyFill="1" applyBorder="1" applyAlignment="1">
      <alignment horizontal="center" vertical="center"/>
    </xf>
    <xf numFmtId="49" fontId="3" fillId="2" borderId="3" xfId="0" applyNumberFormat="1" applyFont="1" applyFill="1" applyBorder="1" applyAlignment="1">
      <alignment horizontal="center" vertical="center" wrapText="1"/>
    </xf>
    <xf numFmtId="49" fontId="3" fillId="2" borderId="3" xfId="0" applyNumberFormat="1" applyFont="1" applyFill="1" applyBorder="1" applyAlignment="1">
      <alignment horizontal="left" vertical="center" wrapText="1"/>
    </xf>
    <xf numFmtId="4" fontId="3" fillId="2" borderId="3" xfId="0" applyNumberFormat="1" applyFont="1" applyFill="1" applyBorder="1" applyAlignment="1">
      <alignment horizontal="center" vertical="center" wrapText="1"/>
    </xf>
    <xf numFmtId="4" fontId="3" fillId="2" borderId="3" xfId="0" applyNumberFormat="1" applyFont="1" applyFill="1" applyBorder="1" applyAlignment="1">
      <alignment horizontal="right" vertical="center" wrapText="1" indent="1"/>
    </xf>
    <xf numFmtId="0" fontId="3" fillId="2" borderId="0" xfId="0" applyFont="1" applyFill="1" applyAlignment="1">
      <alignment horizontal="center" vertical="center" wrapText="1"/>
    </xf>
    <xf numFmtId="49" fontId="3" fillId="2" borderId="1" xfId="0" applyNumberFormat="1" applyFont="1" applyFill="1" applyBorder="1" applyAlignment="1">
      <alignment horizontal="center" vertical="center" wrapText="1"/>
    </xf>
    <xf numFmtId="49" fontId="3" fillId="2" borderId="1" xfId="0" applyNumberFormat="1" applyFont="1" applyFill="1" applyBorder="1" applyAlignment="1">
      <alignment horizontal="left" vertical="center" wrapText="1"/>
    </xf>
    <xf numFmtId="4" fontId="3" fillId="2" borderId="1" xfId="0" applyNumberFormat="1" applyFont="1" applyFill="1" applyBorder="1" applyAlignment="1">
      <alignment horizontal="center" vertical="center" wrapText="1"/>
    </xf>
    <xf numFmtId="4" fontId="3" fillId="2" borderId="1" xfId="0" applyNumberFormat="1" applyFont="1" applyFill="1" applyBorder="1" applyAlignment="1">
      <alignment horizontal="right" vertical="center" wrapText="1" indent="1"/>
    </xf>
    <xf numFmtId="49" fontId="3" fillId="2" borderId="3" xfId="0" applyNumberFormat="1" applyFont="1" applyFill="1" applyBorder="1" applyAlignment="1">
      <alignment horizontal="left" vertical="center" wrapText="1" indent="1"/>
    </xf>
    <xf numFmtId="49" fontId="3" fillId="2" borderId="1" xfId="0" applyNumberFormat="1" applyFont="1" applyFill="1" applyBorder="1" applyAlignment="1">
      <alignment horizontal="left" vertical="center" wrapText="1" indent="1"/>
    </xf>
    <xf numFmtId="49" fontId="5" fillId="2" borderId="1" xfId="0" applyNumberFormat="1" applyFont="1" applyFill="1" applyBorder="1" applyAlignment="1">
      <alignment horizontal="center" vertical="center" wrapText="1"/>
    </xf>
    <xf numFmtId="0" fontId="9" fillId="2" borderId="0" xfId="0" applyFont="1" applyFill="1" applyAlignment="1">
      <alignment horizontal="center" vertical="center" wrapText="1"/>
    </xf>
    <xf numFmtId="4" fontId="8" fillId="2" borderId="1" xfId="1" applyNumberFormat="1" applyFont="1" applyFill="1" applyBorder="1" applyAlignment="1">
      <alignment horizontal="center" vertical="center"/>
    </xf>
    <xf numFmtId="4" fontId="8" fillId="2" borderId="2" xfId="1" applyNumberFormat="1" applyFont="1" applyFill="1" applyBorder="1" applyAlignment="1">
      <alignment horizontal="center" vertical="center"/>
    </xf>
    <xf numFmtId="49" fontId="10" fillId="2" borderId="1" xfId="0" applyNumberFormat="1" applyFont="1" applyFill="1" applyBorder="1" applyAlignment="1">
      <alignment horizontal="center" vertical="center" wrapText="1"/>
    </xf>
    <xf numFmtId="49" fontId="10" fillId="2" borderId="1" xfId="0" applyNumberFormat="1" applyFont="1" applyFill="1" applyBorder="1" applyAlignment="1">
      <alignment horizontal="left" vertical="center" wrapText="1"/>
    </xf>
    <xf numFmtId="4" fontId="10" fillId="2" borderId="1" xfId="0" applyNumberFormat="1" applyFont="1" applyFill="1" applyBorder="1" applyAlignment="1">
      <alignment horizontal="right" vertical="center" wrapText="1" indent="1"/>
    </xf>
    <xf numFmtId="49" fontId="11" fillId="2" borderId="1" xfId="0" applyNumberFormat="1" applyFont="1" applyFill="1" applyBorder="1" applyAlignment="1">
      <alignment horizontal="center" vertical="center" wrapText="1"/>
    </xf>
    <xf numFmtId="49" fontId="11" fillId="2" borderId="1" xfId="0" applyNumberFormat="1" applyFont="1" applyFill="1" applyBorder="1" applyAlignment="1">
      <alignment horizontal="left" vertical="center" wrapText="1" indent="3"/>
    </xf>
    <xf numFmtId="4" fontId="11" fillId="2" borderId="1" xfId="0" applyNumberFormat="1" applyFont="1" applyFill="1" applyBorder="1" applyAlignment="1">
      <alignment horizontal="right" vertical="center" wrapText="1"/>
    </xf>
    <xf numFmtId="4" fontId="11" fillId="2" borderId="1" xfId="0" applyNumberFormat="1" applyFont="1" applyFill="1" applyBorder="1" applyAlignment="1">
      <alignment horizontal="right" vertical="center" wrapText="1" indent="1"/>
    </xf>
    <xf numFmtId="2" fontId="2" fillId="0" borderId="1" xfId="0" applyNumberFormat="1" applyFont="1" applyBorder="1" applyAlignment="1">
      <alignment horizontal="center" vertical="center" wrapText="1"/>
    </xf>
    <xf numFmtId="4" fontId="10" fillId="2" borderId="1" xfId="0" applyNumberFormat="1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right" vertical="top" wrapText="1"/>
    </xf>
    <xf numFmtId="0" fontId="2" fillId="0" borderId="0" xfId="2" applyFont="1" applyBorder="1" applyAlignment="1" applyProtection="1">
      <alignment horizontal="right" vertical="center"/>
    </xf>
    <xf numFmtId="49" fontId="3" fillId="2" borderId="1" xfId="0" applyNumberFormat="1" applyFont="1" applyFill="1" applyBorder="1" applyAlignment="1">
      <alignment horizontal="left" vertical="center" wrapText="1" indent="2"/>
    </xf>
    <xf numFmtId="49" fontId="14" fillId="0" borderId="7" xfId="1" applyNumberFormat="1" applyFont="1" applyFill="1" applyBorder="1" applyAlignment="1">
      <alignment horizontal="center" vertical="center" wrapText="1"/>
    </xf>
    <xf numFmtId="0" fontId="17" fillId="0" borderId="0" xfId="1" applyFont="1" applyFill="1" applyAlignment="1">
      <alignment vertical="center"/>
    </xf>
    <xf numFmtId="0" fontId="2" fillId="0" borderId="10" xfId="0" applyNumberFormat="1" applyFont="1" applyFill="1" applyBorder="1" applyAlignment="1">
      <alignment horizontal="right" vertical="center" wrapText="1"/>
    </xf>
    <xf numFmtId="2" fontId="15" fillId="0" borderId="1" xfId="0" applyNumberFormat="1" applyFont="1" applyFill="1" applyBorder="1" applyAlignment="1">
      <alignment horizontal="center" vertical="center"/>
    </xf>
    <xf numFmtId="4" fontId="16" fillId="0" borderId="1" xfId="1" applyNumberFormat="1" applyFont="1" applyFill="1" applyBorder="1" applyAlignment="1">
      <alignment horizontal="center" vertical="center" wrapText="1"/>
    </xf>
    <xf numFmtId="4" fontId="2" fillId="0" borderId="1" xfId="0" applyNumberFormat="1" applyFont="1" applyFill="1" applyBorder="1" applyAlignment="1">
      <alignment horizontal="center" vertical="center" wrapText="1"/>
    </xf>
    <xf numFmtId="4" fontId="16" fillId="0" borderId="1" xfId="0" applyNumberFormat="1" applyFont="1" applyFill="1" applyBorder="1" applyAlignment="1">
      <alignment horizontal="center" vertical="center" wrapText="1"/>
    </xf>
    <xf numFmtId="49" fontId="3" fillId="2" borderId="2" xfId="0" applyNumberFormat="1" applyFont="1" applyFill="1" applyBorder="1" applyAlignment="1">
      <alignment horizontal="left" vertical="center" wrapText="1"/>
    </xf>
    <xf numFmtId="4" fontId="6" fillId="2" borderId="2" xfId="0" applyNumberFormat="1" applyFont="1" applyFill="1" applyBorder="1" applyAlignment="1">
      <alignment horizontal="center" vertical="center" wrapText="1"/>
    </xf>
    <xf numFmtId="4" fontId="3" fillId="2" borderId="2" xfId="0" applyNumberFormat="1" applyFont="1" applyFill="1" applyBorder="1" applyAlignment="1">
      <alignment horizontal="center" vertical="center" wrapText="1"/>
    </xf>
    <xf numFmtId="0" fontId="14" fillId="0" borderId="1" xfId="1" applyFont="1" applyFill="1" applyBorder="1" applyAlignment="1">
      <alignment horizontal="center" vertical="center" wrapText="1"/>
    </xf>
    <xf numFmtId="4" fontId="16" fillId="0" borderId="8" xfId="1" applyNumberFormat="1" applyFont="1" applyFill="1" applyBorder="1" applyAlignment="1">
      <alignment horizontal="center" vertical="center" wrapText="1"/>
    </xf>
    <xf numFmtId="49" fontId="16" fillId="0" borderId="7" xfId="1" applyNumberFormat="1" applyFont="1" applyFill="1" applyBorder="1" applyAlignment="1">
      <alignment horizontal="center" vertical="center" wrapText="1"/>
    </xf>
    <xf numFmtId="0" fontId="20" fillId="0" borderId="0" xfId="1" applyFont="1" applyFill="1" applyAlignment="1">
      <alignment vertical="center"/>
    </xf>
    <xf numFmtId="0" fontId="16" fillId="0" borderId="10" xfId="1" applyFont="1" applyFill="1" applyBorder="1" applyAlignment="1">
      <alignment horizontal="left" vertical="center" wrapText="1" indent="1"/>
    </xf>
    <xf numFmtId="0" fontId="2" fillId="0" borderId="1" xfId="3" applyFont="1" applyBorder="1" applyAlignment="1">
      <alignment horizontal="right" wrapText="1"/>
    </xf>
    <xf numFmtId="0" fontId="2" fillId="0" borderId="1" xfId="3" applyFont="1" applyBorder="1" applyAlignment="1">
      <alignment horizontal="center" vertical="center" wrapText="1"/>
    </xf>
    <xf numFmtId="0" fontId="2" fillId="2" borderId="1" xfId="3" applyNumberFormat="1" applyFont="1" applyFill="1" applyBorder="1" applyAlignment="1">
      <alignment horizontal="center" vertical="center" wrapText="1"/>
    </xf>
    <xf numFmtId="4" fontId="2" fillId="0" borderId="1" xfId="3" applyNumberFormat="1" applyFont="1" applyFill="1" applyBorder="1" applyAlignment="1">
      <alignment horizontal="center" vertical="center" wrapText="1"/>
    </xf>
    <xf numFmtId="4" fontId="2" fillId="0" borderId="1" xfId="3" applyNumberFormat="1" applyFont="1" applyBorder="1" applyAlignment="1">
      <alignment horizontal="center" vertical="center" wrapText="1"/>
    </xf>
    <xf numFmtId="2" fontId="6" fillId="0" borderId="1" xfId="0" applyNumberFormat="1" applyFont="1" applyBorder="1" applyAlignment="1">
      <alignment horizontal="center" vertical="center"/>
    </xf>
    <xf numFmtId="0" fontId="2" fillId="0" borderId="0" xfId="0" applyFont="1"/>
    <xf numFmtId="49" fontId="6" fillId="3" borderId="4" xfId="0" applyNumberFormat="1" applyFont="1" applyFill="1" applyBorder="1" applyAlignment="1">
      <alignment horizontal="center" vertical="center" wrapText="1"/>
    </xf>
    <xf numFmtId="49" fontId="5" fillId="3" borderId="5" xfId="0" applyNumberFormat="1" applyFont="1" applyFill="1" applyBorder="1" applyAlignment="1">
      <alignment horizontal="center" vertical="center" wrapText="1"/>
    </xf>
    <xf numFmtId="49" fontId="6" fillId="3" borderId="5" xfId="0" applyNumberFormat="1" applyFont="1" applyFill="1" applyBorder="1" applyAlignment="1">
      <alignment horizontal="center" vertical="center" wrapText="1"/>
    </xf>
    <xf numFmtId="4" fontId="6" fillId="3" borderId="5" xfId="0" applyNumberFormat="1" applyFont="1" applyFill="1" applyBorder="1" applyAlignment="1">
      <alignment horizontal="right" vertical="center" wrapText="1"/>
    </xf>
    <xf numFmtId="4" fontId="6" fillId="3" borderId="5" xfId="0" applyNumberFormat="1" applyFont="1" applyFill="1" applyBorder="1" applyAlignment="1">
      <alignment horizontal="right" vertical="center" wrapText="1" indent="1"/>
    </xf>
    <xf numFmtId="4" fontId="3" fillId="3" borderId="6" xfId="0" applyNumberFormat="1" applyFont="1" applyFill="1" applyBorder="1" applyAlignment="1">
      <alignment horizontal="center" vertical="center" wrapText="1"/>
    </xf>
    <xf numFmtId="49" fontId="7" fillId="3" borderId="5" xfId="0" applyNumberFormat="1" applyFont="1" applyFill="1" applyBorder="1" applyAlignment="1">
      <alignment horizontal="center" vertical="center" wrapText="1"/>
    </xf>
    <xf numFmtId="49" fontId="6" fillId="2" borderId="2" xfId="0" applyNumberFormat="1" applyFont="1" applyFill="1" applyBorder="1" applyAlignment="1">
      <alignment horizontal="right" vertical="center" wrapText="1"/>
    </xf>
    <xf numFmtId="49" fontId="14" fillId="0" borderId="11" xfId="1" applyNumberFormat="1" applyFont="1" applyFill="1" applyBorder="1" applyAlignment="1">
      <alignment horizontal="center" vertical="center" wrapText="1"/>
    </xf>
    <xf numFmtId="4" fontId="16" fillId="0" borderId="13" xfId="1" applyNumberFormat="1" applyFont="1" applyFill="1" applyBorder="1" applyAlignment="1">
      <alignment horizontal="center" vertical="center" wrapText="1"/>
    </xf>
    <xf numFmtId="4" fontId="18" fillId="0" borderId="8" xfId="1" applyNumberFormat="1" applyFont="1" applyFill="1" applyBorder="1" applyAlignment="1">
      <alignment horizontal="center" vertical="center" wrapText="1"/>
    </xf>
    <xf numFmtId="49" fontId="14" fillId="0" borderId="14" xfId="1" applyNumberFormat="1" applyFont="1" applyFill="1" applyBorder="1" applyAlignment="1">
      <alignment horizontal="center" vertical="center" wrapText="1"/>
    </xf>
    <xf numFmtId="49" fontId="3" fillId="2" borderId="9" xfId="0" applyNumberFormat="1" applyFont="1" applyFill="1" applyBorder="1" applyAlignment="1">
      <alignment horizontal="center" vertical="center" wrapText="1"/>
    </xf>
    <xf numFmtId="4" fontId="3" fillId="2" borderId="19" xfId="0" applyNumberFormat="1" applyFont="1" applyFill="1" applyBorder="1" applyAlignment="1">
      <alignment horizontal="center" vertical="center" wrapText="1"/>
    </xf>
    <xf numFmtId="49" fontId="6" fillId="2" borderId="7" xfId="0" applyNumberFormat="1" applyFont="1" applyFill="1" applyBorder="1" applyAlignment="1">
      <alignment horizontal="center" vertical="center" wrapText="1"/>
    </xf>
    <xf numFmtId="4" fontId="6" fillId="2" borderId="8" xfId="0" applyNumberFormat="1" applyFont="1" applyFill="1" applyBorder="1" applyAlignment="1">
      <alignment horizontal="center" vertical="center" wrapText="1"/>
    </xf>
    <xf numFmtId="49" fontId="4" fillId="2" borderId="7" xfId="1" applyNumberFormat="1" applyFont="1" applyFill="1" applyBorder="1" applyAlignment="1">
      <alignment horizontal="center" vertical="center" wrapText="1"/>
    </xf>
    <xf numFmtId="4" fontId="4" fillId="2" borderId="8" xfId="1" applyNumberFormat="1" applyFont="1" applyFill="1" applyBorder="1" applyAlignment="1">
      <alignment horizontal="center" vertical="center"/>
    </xf>
    <xf numFmtId="49" fontId="3" fillId="2" borderId="7" xfId="0" applyNumberFormat="1" applyFont="1" applyFill="1" applyBorder="1" applyAlignment="1">
      <alignment horizontal="center" vertical="center" wrapText="1"/>
    </xf>
    <xf numFmtId="4" fontId="3" fillId="2" borderId="8" xfId="0" applyNumberFormat="1" applyFont="1" applyFill="1" applyBorder="1" applyAlignment="1">
      <alignment horizontal="center" vertical="center" wrapText="1"/>
    </xf>
    <xf numFmtId="49" fontId="4" fillId="2" borderId="17" xfId="1" applyNumberFormat="1" applyFont="1" applyFill="1" applyBorder="1" applyAlignment="1">
      <alignment horizontal="center" vertical="center" wrapText="1"/>
    </xf>
    <xf numFmtId="4" fontId="4" fillId="2" borderId="18" xfId="1" applyNumberFormat="1" applyFont="1" applyFill="1" applyBorder="1" applyAlignment="1">
      <alignment horizontal="center" vertical="center"/>
    </xf>
    <xf numFmtId="49" fontId="5" fillId="2" borderId="7" xfId="0" applyNumberFormat="1" applyFont="1" applyFill="1" applyBorder="1" applyAlignment="1">
      <alignment horizontal="center" vertical="center" wrapText="1"/>
    </xf>
    <xf numFmtId="4" fontId="5" fillId="2" borderId="8" xfId="0" applyNumberFormat="1" applyFont="1" applyFill="1" applyBorder="1" applyAlignment="1">
      <alignment horizontal="center" vertical="center" wrapText="1"/>
    </xf>
    <xf numFmtId="49" fontId="8" fillId="2" borderId="7" xfId="1" applyNumberFormat="1" applyFont="1" applyFill="1" applyBorder="1" applyAlignment="1">
      <alignment horizontal="center" vertical="center" wrapText="1"/>
    </xf>
    <xf numFmtId="4" fontId="8" fillId="2" borderId="8" xfId="1" applyNumberFormat="1" applyFont="1" applyFill="1" applyBorder="1" applyAlignment="1">
      <alignment horizontal="center" vertical="center"/>
    </xf>
    <xf numFmtId="49" fontId="8" fillId="2" borderId="17" xfId="1" applyNumberFormat="1" applyFont="1" applyFill="1" applyBorder="1" applyAlignment="1">
      <alignment horizontal="center" vertical="center" wrapText="1"/>
    </xf>
    <xf numFmtId="4" fontId="8" fillId="2" borderId="18" xfId="1" applyNumberFormat="1" applyFont="1" applyFill="1" applyBorder="1" applyAlignment="1">
      <alignment horizontal="center" vertical="center"/>
    </xf>
    <xf numFmtId="49" fontId="10" fillId="2" borderId="7" xfId="0" applyNumberFormat="1" applyFont="1" applyFill="1" applyBorder="1" applyAlignment="1">
      <alignment horizontal="center" vertical="center" wrapText="1"/>
    </xf>
    <xf numFmtId="4" fontId="10" fillId="2" borderId="8" xfId="0" applyNumberFormat="1" applyFont="1" applyFill="1" applyBorder="1" applyAlignment="1">
      <alignment horizontal="center" vertical="center" wrapText="1"/>
    </xf>
    <xf numFmtId="49" fontId="11" fillId="2" borderId="7" xfId="0" applyNumberFormat="1" applyFont="1" applyFill="1" applyBorder="1" applyAlignment="1">
      <alignment horizontal="center" vertical="center" wrapText="1"/>
    </xf>
    <xf numFmtId="4" fontId="11" fillId="2" borderId="8" xfId="0" applyNumberFormat="1" applyFont="1" applyFill="1" applyBorder="1" applyAlignment="1">
      <alignment horizontal="center" vertical="center" wrapText="1"/>
    </xf>
    <xf numFmtId="49" fontId="5" fillId="2" borderId="9" xfId="0" applyNumberFormat="1" applyFont="1" applyFill="1" applyBorder="1" applyAlignment="1">
      <alignment horizontal="center" vertical="center" wrapText="1"/>
    </xf>
    <xf numFmtId="4" fontId="5" fillId="2" borderId="19" xfId="0" applyNumberFormat="1" applyFont="1" applyFill="1" applyBorder="1" applyAlignment="1">
      <alignment horizontal="right" vertical="center" wrapText="1" indent="1"/>
    </xf>
    <xf numFmtId="4" fontId="6" fillId="2" borderId="8" xfId="0" applyNumberFormat="1" applyFont="1" applyFill="1" applyBorder="1" applyAlignment="1">
      <alignment horizontal="right" vertical="center" wrapText="1" indent="1"/>
    </xf>
    <xf numFmtId="49" fontId="12" fillId="2" borderId="7" xfId="1" applyNumberFormat="1" applyFont="1" applyFill="1" applyBorder="1" applyAlignment="1">
      <alignment horizontal="center" vertical="center" wrapText="1"/>
    </xf>
    <xf numFmtId="4" fontId="5" fillId="2" borderId="8" xfId="0" applyNumberFormat="1" applyFont="1" applyFill="1" applyBorder="1" applyAlignment="1">
      <alignment horizontal="right" vertical="center" wrapText="1" indent="1"/>
    </xf>
    <xf numFmtId="49" fontId="3" fillId="2" borderId="17" xfId="0" applyNumberFormat="1" applyFont="1" applyFill="1" applyBorder="1" applyAlignment="1">
      <alignment horizontal="center" vertical="center" wrapText="1"/>
    </xf>
    <xf numFmtId="4" fontId="3" fillId="2" borderId="18" xfId="0" applyNumberFormat="1" applyFont="1" applyFill="1" applyBorder="1" applyAlignment="1">
      <alignment horizontal="center" vertical="center" wrapText="1"/>
    </xf>
    <xf numFmtId="1" fontId="2" fillId="0" borderId="7" xfId="3" applyNumberFormat="1" applyFont="1" applyBorder="1" applyAlignment="1">
      <alignment horizontal="center" vertical="center" wrapText="1"/>
    </xf>
    <xf numFmtId="0" fontId="2" fillId="0" borderId="8" xfId="0" applyFont="1" applyBorder="1"/>
    <xf numFmtId="4" fontId="14" fillId="0" borderId="8" xfId="1" applyNumberFormat="1" applyFont="1" applyFill="1" applyBorder="1" applyAlignment="1">
      <alignment horizontal="center" vertical="center" wrapText="1"/>
    </xf>
    <xf numFmtId="4" fontId="2" fillId="0" borderId="16" xfId="1" applyNumberFormat="1" applyFont="1" applyFill="1" applyBorder="1" applyAlignment="1">
      <alignment horizontal="center" vertical="center" wrapText="1"/>
    </xf>
    <xf numFmtId="49" fontId="14" fillId="0" borderId="0" xfId="1" applyNumberFormat="1" applyFont="1" applyFill="1" applyBorder="1" applyAlignment="1">
      <alignment horizontal="center" vertical="center" wrapText="1"/>
    </xf>
    <xf numFmtId="0" fontId="2" fillId="0" borderId="0" xfId="1" applyFont="1" applyFill="1" applyBorder="1" applyAlignment="1">
      <alignment horizontal="right" vertical="center" wrapText="1"/>
    </xf>
    <xf numFmtId="4" fontId="2" fillId="0" borderId="0" xfId="1" applyNumberFormat="1" applyFont="1" applyFill="1" applyBorder="1" applyAlignment="1">
      <alignment horizontal="center" vertical="center" wrapText="1"/>
    </xf>
    <xf numFmtId="4" fontId="16" fillId="0" borderId="12" xfId="1" applyNumberFormat="1" applyFont="1" applyFill="1" applyBorder="1" applyAlignment="1">
      <alignment vertical="center" wrapText="1"/>
    </xf>
    <xf numFmtId="0" fontId="22" fillId="0" borderId="0" xfId="1" applyFont="1" applyFill="1" applyAlignment="1">
      <alignment horizontal="center" vertical="center"/>
    </xf>
    <xf numFmtId="0" fontId="22" fillId="0" borderId="0" xfId="1" applyFont="1" applyFill="1" applyAlignment="1">
      <alignment vertical="center"/>
    </xf>
    <xf numFmtId="0" fontId="23" fillId="0" borderId="0" xfId="1" applyFont="1" applyFill="1" applyAlignment="1">
      <alignment vertical="center"/>
    </xf>
    <xf numFmtId="4" fontId="23" fillId="0" borderId="0" xfId="1" applyNumberFormat="1" applyFont="1" applyFill="1" applyAlignment="1">
      <alignment vertical="center"/>
    </xf>
    <xf numFmtId="0" fontId="24" fillId="0" borderId="0" xfId="1" applyFont="1" applyFill="1" applyAlignment="1">
      <alignment horizontal="center" vertical="center"/>
    </xf>
    <xf numFmtId="0" fontId="24" fillId="0" borderId="0" xfId="1" applyFont="1" applyFill="1" applyAlignment="1">
      <alignment vertical="center"/>
    </xf>
    <xf numFmtId="0" fontId="25" fillId="0" borderId="0" xfId="1" applyFont="1" applyFill="1" applyAlignment="1">
      <alignment vertical="center"/>
    </xf>
    <xf numFmtId="4" fontId="25" fillId="0" borderId="0" xfId="1" applyNumberFormat="1" applyFont="1" applyFill="1" applyAlignment="1">
      <alignment vertical="center"/>
    </xf>
    <xf numFmtId="49" fontId="5" fillId="2" borderId="1" xfId="0" applyNumberFormat="1" applyFont="1" applyFill="1" applyBorder="1" applyAlignment="1">
      <alignment horizontal="center" vertical="center" wrapText="1"/>
    </xf>
    <xf numFmtId="49" fontId="5" fillId="2" borderId="7" xfId="0" applyNumberFormat="1" applyFont="1" applyFill="1" applyBorder="1" applyAlignment="1">
      <alignment horizontal="center" vertical="center" wrapText="1"/>
    </xf>
    <xf numFmtId="49" fontId="6" fillId="2" borderId="22" xfId="0" applyNumberFormat="1" applyFont="1" applyFill="1" applyBorder="1" applyAlignment="1">
      <alignment horizontal="center" vertical="center" wrapText="1"/>
    </xf>
    <xf numFmtId="4" fontId="6" fillId="2" borderId="18" xfId="0" applyNumberFormat="1" applyFont="1" applyFill="1" applyBorder="1" applyAlignment="1">
      <alignment horizontal="center" vertical="center" wrapText="1"/>
    </xf>
    <xf numFmtId="49" fontId="5" fillId="4" borderId="1" xfId="0" applyNumberFormat="1" applyFont="1" applyFill="1" applyBorder="1" applyAlignment="1">
      <alignment horizontal="left" vertical="center" wrapText="1"/>
    </xf>
    <xf numFmtId="4" fontId="3" fillId="0" borderId="1" xfId="0" applyNumberFormat="1" applyFont="1" applyFill="1" applyBorder="1" applyAlignment="1">
      <alignment horizontal="center" vertical="center" wrapText="1"/>
    </xf>
    <xf numFmtId="49" fontId="5" fillId="2" borderId="1" xfId="0" applyNumberFormat="1" applyFont="1" applyFill="1" applyBorder="1" applyAlignment="1">
      <alignment horizontal="center" vertical="center" wrapText="1"/>
    </xf>
    <xf numFmtId="49" fontId="5" fillId="2" borderId="7" xfId="0" applyNumberFormat="1" applyFont="1" applyFill="1" applyBorder="1" applyAlignment="1">
      <alignment horizontal="center" vertical="center" wrapText="1"/>
    </xf>
    <xf numFmtId="4" fontId="2" fillId="5" borderId="1" xfId="1" applyNumberFormat="1" applyFont="1" applyFill="1" applyBorder="1" applyAlignment="1">
      <alignment horizontal="center" vertical="center" wrapText="1"/>
    </xf>
    <xf numFmtId="4" fontId="6" fillId="5" borderId="1" xfId="0" applyNumberFormat="1" applyFont="1" applyFill="1" applyBorder="1" applyAlignment="1">
      <alignment horizontal="center" vertical="center" wrapText="1"/>
    </xf>
    <xf numFmtId="4" fontId="3" fillId="5" borderId="1" xfId="0" applyNumberFormat="1" applyFont="1" applyFill="1" applyBorder="1" applyAlignment="1">
      <alignment horizontal="center" vertical="center" wrapText="1"/>
    </xf>
    <xf numFmtId="4" fontId="5" fillId="5" borderId="1" xfId="0" applyNumberFormat="1" applyFont="1" applyFill="1" applyBorder="1" applyAlignment="1">
      <alignment horizontal="center" vertical="center" wrapText="1"/>
    </xf>
    <xf numFmtId="49" fontId="6" fillId="5" borderId="1" xfId="0" applyNumberFormat="1" applyFont="1" applyFill="1" applyBorder="1" applyAlignment="1">
      <alignment horizontal="right" vertical="center" wrapText="1"/>
    </xf>
    <xf numFmtId="49" fontId="6" fillId="5" borderId="1" xfId="0" applyNumberFormat="1" applyFont="1" applyFill="1" applyBorder="1" applyAlignment="1">
      <alignment horizontal="center" vertical="center" wrapText="1"/>
    </xf>
    <xf numFmtId="4" fontId="4" fillId="5" borderId="1" xfId="1" applyNumberFormat="1" applyFont="1" applyFill="1" applyBorder="1" applyAlignment="1">
      <alignment horizontal="center" vertical="center"/>
    </xf>
    <xf numFmtId="4" fontId="6" fillId="5" borderId="8" xfId="0" applyNumberFormat="1" applyFont="1" applyFill="1" applyBorder="1" applyAlignment="1">
      <alignment horizontal="center" vertical="center" wrapText="1"/>
    </xf>
    <xf numFmtId="2" fontId="2" fillId="6" borderId="1" xfId="0" applyNumberFormat="1" applyFont="1" applyFill="1" applyBorder="1" applyAlignment="1">
      <alignment horizontal="center" vertical="center" wrapText="1"/>
    </xf>
    <xf numFmtId="49" fontId="5" fillId="5" borderId="1" xfId="0" applyNumberFormat="1" applyFont="1" applyFill="1" applyBorder="1" applyAlignment="1">
      <alignment horizontal="left" vertical="center" wrapText="1"/>
    </xf>
    <xf numFmtId="49" fontId="3" fillId="5" borderId="1" xfId="0" applyNumberFormat="1" applyFont="1" applyFill="1" applyBorder="1" applyAlignment="1">
      <alignment horizontal="left" vertical="center" wrapText="1" indent="1"/>
    </xf>
    <xf numFmtId="4" fontId="2" fillId="5" borderId="2" xfId="1" applyNumberFormat="1" applyFont="1" applyFill="1" applyBorder="1" applyAlignment="1">
      <alignment horizontal="center" vertical="center" wrapText="1"/>
    </xf>
    <xf numFmtId="49" fontId="6" fillId="5" borderId="2" xfId="0" applyNumberFormat="1" applyFont="1" applyFill="1" applyBorder="1" applyAlignment="1">
      <alignment horizontal="right" vertical="center" wrapText="1"/>
    </xf>
    <xf numFmtId="4" fontId="6" fillId="6" borderId="2" xfId="0" applyNumberFormat="1" applyFont="1" applyFill="1" applyBorder="1" applyAlignment="1">
      <alignment horizontal="center" vertical="center" wrapText="1"/>
    </xf>
    <xf numFmtId="0" fontId="2" fillId="5" borderId="1" xfId="1" applyFont="1" applyFill="1" applyBorder="1" applyAlignment="1">
      <alignment horizontal="right" vertical="center" wrapText="1"/>
    </xf>
    <xf numFmtId="0" fontId="2" fillId="5" borderId="1" xfId="1" applyFont="1" applyFill="1" applyBorder="1" applyAlignment="1">
      <alignment horizontal="center" vertical="center" wrapText="1"/>
    </xf>
    <xf numFmtId="1" fontId="15" fillId="0" borderId="1" xfId="0" applyNumberFormat="1" applyFont="1" applyFill="1" applyBorder="1" applyAlignment="1">
      <alignment horizontal="center" vertical="center"/>
    </xf>
    <xf numFmtId="4" fontId="3" fillId="5" borderId="3" xfId="0" applyNumberFormat="1" applyFont="1" applyFill="1" applyBorder="1" applyAlignment="1">
      <alignment horizontal="center" vertical="center" wrapText="1"/>
    </xf>
    <xf numFmtId="0" fontId="2" fillId="5" borderId="1" xfId="0" applyFont="1" applyFill="1" applyBorder="1" applyAlignment="1">
      <alignment horizontal="right" vertical="top" wrapText="1"/>
    </xf>
    <xf numFmtId="49" fontId="3" fillId="5" borderId="2" xfId="0" applyNumberFormat="1" applyFont="1" applyFill="1" applyBorder="1" applyAlignment="1">
      <alignment horizontal="center" vertical="center" wrapText="1"/>
    </xf>
    <xf numFmtId="4" fontId="3" fillId="5" borderId="2" xfId="0" applyNumberFormat="1" applyFont="1" applyFill="1" applyBorder="1" applyAlignment="1">
      <alignment horizontal="center" vertical="center" wrapText="1"/>
    </xf>
    <xf numFmtId="49" fontId="6" fillId="2" borderId="1" xfId="0" applyNumberFormat="1" applyFont="1" applyFill="1" applyBorder="1" applyAlignment="1">
      <alignment horizontal="right" vertical="center" wrapText="1" indent="3"/>
    </xf>
    <xf numFmtId="49" fontId="6" fillId="5" borderId="1" xfId="0" applyNumberFormat="1" applyFont="1" applyFill="1" applyBorder="1" applyAlignment="1">
      <alignment horizontal="right" vertical="center" wrapText="1" indent="3"/>
    </xf>
    <xf numFmtId="0" fontId="2" fillId="5" borderId="1" xfId="3" applyFont="1" applyFill="1" applyBorder="1" applyAlignment="1">
      <alignment horizontal="right" wrapText="1"/>
    </xf>
    <xf numFmtId="0" fontId="2" fillId="5" borderId="1" xfId="3" applyNumberFormat="1" applyFont="1" applyFill="1" applyBorder="1" applyAlignment="1">
      <alignment horizontal="center" vertical="center" wrapText="1"/>
    </xf>
    <xf numFmtId="49" fontId="3" fillId="5" borderId="7" xfId="0" applyNumberFormat="1" applyFont="1" applyFill="1" applyBorder="1" applyAlignment="1">
      <alignment horizontal="center" vertical="center" wrapText="1"/>
    </xf>
    <xf numFmtId="49" fontId="6" fillId="0" borderId="1" xfId="0" applyNumberFormat="1" applyFont="1" applyFill="1" applyBorder="1" applyAlignment="1">
      <alignment horizontal="right" vertical="center" wrapText="1"/>
    </xf>
    <xf numFmtId="49" fontId="6" fillId="0" borderId="1" xfId="0" applyNumberFormat="1" applyFont="1" applyFill="1" applyBorder="1" applyAlignment="1">
      <alignment horizontal="center" vertical="center" wrapText="1"/>
    </xf>
    <xf numFmtId="4" fontId="6" fillId="0" borderId="1" xfId="0" applyNumberFormat="1" applyFont="1" applyFill="1" applyBorder="1" applyAlignment="1">
      <alignment horizontal="center" vertical="center" wrapText="1"/>
    </xf>
    <xf numFmtId="4" fontId="6" fillId="0" borderId="8" xfId="0" applyNumberFormat="1" applyFont="1" applyFill="1" applyBorder="1" applyAlignment="1">
      <alignment horizontal="center" vertical="center" wrapText="1"/>
    </xf>
    <xf numFmtId="49" fontId="5" fillId="5" borderId="7" xfId="0" applyNumberFormat="1" applyFont="1" applyFill="1" applyBorder="1" applyAlignment="1">
      <alignment horizontal="center" vertical="center" wrapText="1"/>
    </xf>
    <xf numFmtId="49" fontId="5" fillId="5" borderId="9" xfId="0" applyNumberFormat="1" applyFont="1" applyFill="1" applyBorder="1" applyAlignment="1">
      <alignment horizontal="center" vertical="center" wrapText="1"/>
    </xf>
    <xf numFmtId="49" fontId="5" fillId="5" borderId="3" xfId="0" applyNumberFormat="1" applyFont="1" applyFill="1" applyBorder="1" applyAlignment="1">
      <alignment horizontal="left" vertical="center" wrapText="1"/>
    </xf>
    <xf numFmtId="49" fontId="3" fillId="5" borderId="1" xfId="0" applyNumberFormat="1" applyFont="1" applyFill="1" applyBorder="1" applyAlignment="1">
      <alignment horizontal="left" vertical="center" wrapText="1"/>
    </xf>
    <xf numFmtId="49" fontId="3" fillId="5" borderId="1" xfId="0" applyNumberFormat="1" applyFont="1" applyFill="1" applyBorder="1" applyAlignment="1">
      <alignment horizontal="center" vertical="center" wrapText="1"/>
    </xf>
    <xf numFmtId="49" fontId="3" fillId="5" borderId="3" xfId="0" applyNumberFormat="1" applyFont="1" applyFill="1" applyBorder="1" applyAlignment="1">
      <alignment horizontal="center" vertical="center" wrapText="1"/>
    </xf>
    <xf numFmtId="0" fontId="2" fillId="5" borderId="1" xfId="3" applyFont="1" applyFill="1" applyBorder="1" applyAlignment="1">
      <alignment horizontal="center" vertical="center" wrapText="1"/>
    </xf>
    <xf numFmtId="4" fontId="2" fillId="5" borderId="1" xfId="3" applyNumberFormat="1" applyFont="1" applyFill="1" applyBorder="1" applyAlignment="1">
      <alignment horizontal="center" vertical="center" wrapText="1"/>
    </xf>
    <xf numFmtId="0" fontId="2" fillId="5" borderId="8" xfId="0" applyFont="1" applyFill="1" applyBorder="1"/>
    <xf numFmtId="4" fontId="4" fillId="5" borderId="2" xfId="1" applyNumberFormat="1" applyFont="1" applyFill="1" applyBorder="1" applyAlignment="1">
      <alignment horizontal="center" vertical="center"/>
    </xf>
    <xf numFmtId="0" fontId="16" fillId="0" borderId="20" xfId="1" applyFont="1" applyFill="1" applyBorder="1" applyAlignment="1">
      <alignment horizontal="right" vertical="center" wrapText="1"/>
    </xf>
    <xf numFmtId="0" fontId="16" fillId="0" borderId="21" xfId="1" applyFont="1" applyFill="1" applyBorder="1" applyAlignment="1">
      <alignment horizontal="right" vertical="center" wrapText="1"/>
    </xf>
    <xf numFmtId="49" fontId="5" fillId="2" borderId="0" xfId="0" applyNumberFormat="1" applyFont="1" applyFill="1" applyAlignment="1">
      <alignment horizontal="center" vertical="center" wrapText="1"/>
    </xf>
    <xf numFmtId="49" fontId="3" fillId="2" borderId="0" xfId="0" applyNumberFormat="1" applyFont="1" applyFill="1" applyAlignment="1">
      <alignment horizontal="center" vertical="center" wrapText="1"/>
    </xf>
    <xf numFmtId="49" fontId="5" fillId="2" borderId="12" xfId="0" applyNumberFormat="1" applyFont="1" applyFill="1" applyBorder="1" applyAlignment="1">
      <alignment horizontal="center" vertical="center" wrapText="1"/>
    </xf>
    <xf numFmtId="49" fontId="5" fillId="2" borderId="1" xfId="0" applyNumberFormat="1" applyFont="1" applyFill="1" applyBorder="1" applyAlignment="1">
      <alignment horizontal="center" vertical="center" wrapText="1"/>
    </xf>
    <xf numFmtId="49" fontId="5" fillId="2" borderId="2" xfId="0" applyNumberFormat="1" applyFont="1" applyFill="1" applyBorder="1" applyAlignment="1">
      <alignment horizontal="center" vertical="center" wrapText="1"/>
    </xf>
    <xf numFmtId="49" fontId="5" fillId="2" borderId="11" xfId="0" applyNumberFormat="1" applyFont="1" applyFill="1" applyBorder="1" applyAlignment="1">
      <alignment horizontal="center" vertical="center" wrapText="1"/>
    </xf>
    <xf numFmtId="49" fontId="5" fillId="2" borderId="7" xfId="0" applyNumberFormat="1" applyFont="1" applyFill="1" applyBorder="1" applyAlignment="1">
      <alignment horizontal="center" vertical="center" wrapText="1"/>
    </xf>
    <xf numFmtId="49" fontId="5" fillId="2" borderId="17" xfId="0" applyNumberFormat="1" applyFont="1" applyFill="1" applyBorder="1" applyAlignment="1">
      <alignment horizontal="center" vertical="center" wrapText="1"/>
    </xf>
    <xf numFmtId="0" fontId="6" fillId="2" borderId="12" xfId="0" applyFont="1" applyFill="1" applyBorder="1" applyAlignment="1">
      <alignment horizontal="center" vertical="center" wrapText="1"/>
    </xf>
    <xf numFmtId="49" fontId="5" fillId="2" borderId="13" xfId="0" applyNumberFormat="1" applyFont="1" applyFill="1" applyBorder="1" applyAlignment="1">
      <alignment horizontal="center" vertical="center" wrapText="1"/>
    </xf>
    <xf numFmtId="0" fontId="6" fillId="2" borderId="8" xfId="0" applyFont="1" applyFill="1" applyBorder="1" applyAlignment="1">
      <alignment horizontal="center" vertical="center" wrapText="1"/>
    </xf>
    <xf numFmtId="0" fontId="6" fillId="2" borderId="18" xfId="0" applyFont="1" applyFill="1" applyBorder="1" applyAlignment="1">
      <alignment horizontal="center" vertical="center" wrapText="1"/>
    </xf>
    <xf numFmtId="49" fontId="5" fillId="2" borderId="10" xfId="0" applyNumberFormat="1" applyFont="1" applyFill="1" applyBorder="1" applyAlignment="1">
      <alignment horizontal="center" vertical="center" wrapText="1"/>
    </xf>
    <xf numFmtId="49" fontId="5" fillId="2" borderId="23" xfId="0" applyNumberFormat="1" applyFont="1" applyFill="1" applyBorder="1" applyAlignment="1">
      <alignment horizontal="center" vertical="center" wrapText="1"/>
    </xf>
    <xf numFmtId="0" fontId="14" fillId="0" borderId="1" xfId="1" applyFont="1" applyFill="1" applyBorder="1" applyAlignment="1">
      <alignment horizontal="right" vertical="center" wrapText="1"/>
    </xf>
    <xf numFmtId="0" fontId="18" fillId="0" borderId="1" xfId="1" applyFont="1" applyFill="1" applyBorder="1" applyAlignment="1">
      <alignment horizontal="right" vertical="center" wrapText="1"/>
    </xf>
    <xf numFmtId="0" fontId="2" fillId="0" borderId="15" xfId="1" applyFont="1" applyFill="1" applyBorder="1" applyAlignment="1">
      <alignment horizontal="right" vertical="center" wrapText="1"/>
    </xf>
    <xf numFmtId="0" fontId="23" fillId="0" borderId="0" xfId="1" applyFont="1" applyFill="1" applyAlignment="1">
      <alignment vertical="top" wrapText="1"/>
    </xf>
    <xf numFmtId="0" fontId="23" fillId="0" borderId="0" xfId="0" applyFont="1" applyFill="1" applyAlignment="1">
      <alignment vertical="top" wrapText="1"/>
    </xf>
    <xf numFmtId="4" fontId="23" fillId="0" borderId="0" xfId="1" applyNumberFormat="1" applyFont="1" applyFill="1" applyAlignment="1">
      <alignment vertical="top" wrapText="1"/>
    </xf>
    <xf numFmtId="0" fontId="22" fillId="0" borderId="0" xfId="0" applyFont="1" applyFill="1" applyAlignment="1">
      <alignment vertical="top" wrapText="1"/>
    </xf>
  </cellXfs>
  <cellStyles count="4">
    <cellStyle name="Excel Built-in Normal" xfId="1"/>
    <cellStyle name="Гиперссылка" xfId="2" builtinId="8"/>
    <cellStyle name="Обычный" xfId="0" builtinId="0"/>
    <cellStyle name="Обычный 2" xf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www.knauf.ru/products/alphabet/product.wbp?root_id=a1e9048a-372b-4e03-bb19-0bb2e21f30ca" TargetMode="External"/><Relationship Id="rId13" Type="http://schemas.openxmlformats.org/officeDocument/2006/relationships/hyperlink" Target="http://www.knauf.ru/products/alphabet/product.wbp?root_id=a1e9048a-372b-4e03-bb19-0bb2e21f30ca" TargetMode="External"/><Relationship Id="rId3" Type="http://schemas.openxmlformats.org/officeDocument/2006/relationships/hyperlink" Target="http://www.knauf.ru/products/alphabet/product.wbp?root_id=a1e9048a-372b-4e03-bb19-0bb2e21f30ca" TargetMode="External"/><Relationship Id="rId7" Type="http://schemas.openxmlformats.org/officeDocument/2006/relationships/hyperlink" Target="http://www.knauf.ru/products/alphabet/product.wbp?root_id=a1e9048a-372b-4e03-bb19-0bb2e21f30ca" TargetMode="External"/><Relationship Id="rId12" Type="http://schemas.openxmlformats.org/officeDocument/2006/relationships/hyperlink" Target="http://www.knauf.ru/products/alphabet/product.wbp?root_id=a1e9048a-372b-4e03-bb19-0bb2e21f30ca" TargetMode="External"/><Relationship Id="rId2" Type="http://schemas.openxmlformats.org/officeDocument/2006/relationships/hyperlink" Target="http://www.knauf.ru/products/alphabet/product.wbp?root_id=a1e9048a-372b-4e03-bb19-0bb2e21f30ca" TargetMode="External"/><Relationship Id="rId16" Type="http://schemas.openxmlformats.org/officeDocument/2006/relationships/comments" Target="../comments1.xml"/><Relationship Id="rId1" Type="http://schemas.openxmlformats.org/officeDocument/2006/relationships/hyperlink" Target="http://www.knauf.ru/products/alphabet/product.wbp?root_id=a1e9048a-372b-4e03-bb19-0bb2e21f30ca" TargetMode="External"/><Relationship Id="rId6" Type="http://schemas.openxmlformats.org/officeDocument/2006/relationships/hyperlink" Target="http://www.knauf.ru/products/alphabet/product.wbp?root_id=a1e9048a-372b-4e03-bb19-0bb2e21f30ca" TargetMode="External"/><Relationship Id="rId11" Type="http://schemas.openxmlformats.org/officeDocument/2006/relationships/hyperlink" Target="http://www.knauf.ru/products/alphabet/product.wbp?root_id=a1e9048a-372b-4e03-bb19-0bb2e21f30ca" TargetMode="External"/><Relationship Id="rId5" Type="http://schemas.openxmlformats.org/officeDocument/2006/relationships/hyperlink" Target="http://www.knauf.ru/products/alphabet/product.wbp?root_id=a1e9048a-372b-4e03-bb19-0bb2e21f30ca" TargetMode="External"/><Relationship Id="rId15" Type="http://schemas.openxmlformats.org/officeDocument/2006/relationships/vmlDrawing" Target="../drawings/vmlDrawing1.vml"/><Relationship Id="rId10" Type="http://schemas.openxmlformats.org/officeDocument/2006/relationships/hyperlink" Target="http://www.knauf.ru/products/alphabet/product.wbp?root_id=a1e9048a-372b-4e03-bb19-0bb2e21f30ca" TargetMode="External"/><Relationship Id="rId4" Type="http://schemas.openxmlformats.org/officeDocument/2006/relationships/hyperlink" Target="http://www.knauf.ru/products/alphabet/product.wbp?root_id=a1e9048a-372b-4e03-bb19-0bb2e21f30ca" TargetMode="External"/><Relationship Id="rId9" Type="http://schemas.openxmlformats.org/officeDocument/2006/relationships/hyperlink" Target="http://www.knauf.ru/products/alphabet/product.wbp?root_id=a1e9048a-372b-4e03-bb19-0bb2e21f30ca" TargetMode="External"/><Relationship Id="rId1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2:J750"/>
  <sheetViews>
    <sheetView tabSelected="1" topLeftCell="A202" zoomScale="80" zoomScaleNormal="80" workbookViewId="0">
      <selection activeCell="D594" sqref="D594"/>
    </sheetView>
  </sheetViews>
  <sheetFormatPr defaultColWidth="8.85546875" defaultRowHeight="15" outlineLevelRow="1" x14ac:dyDescent="0.25"/>
  <cols>
    <col min="1" max="1" width="6.7109375" style="1" customWidth="1"/>
    <col min="2" max="2" width="70.5703125" style="1" customWidth="1"/>
    <col min="3" max="3" width="5.7109375" style="1" customWidth="1"/>
    <col min="4" max="4" width="11.140625" style="1" bestFit="1" customWidth="1"/>
    <col min="5" max="5" width="7.28515625" style="1" bestFit="1" customWidth="1"/>
    <col min="6" max="6" width="13.140625" style="1" bestFit="1" customWidth="1"/>
    <col min="7" max="7" width="12.85546875" style="1" bestFit="1" customWidth="1"/>
    <col min="8" max="8" width="14.42578125" style="1" bestFit="1" customWidth="1"/>
    <col min="9" max="9" width="14.5703125" style="1" customWidth="1"/>
    <col min="10" max="10" width="8.85546875" style="1" customWidth="1"/>
    <col min="11" max="12" width="8.85546875" style="1"/>
    <col min="13" max="13" width="13.7109375" style="1" bestFit="1" customWidth="1"/>
    <col min="14" max="16384" width="8.85546875" style="1"/>
  </cols>
  <sheetData>
    <row r="2" spans="1:9" x14ac:dyDescent="0.25">
      <c r="A2" s="186" t="s">
        <v>44</v>
      </c>
      <c r="B2" s="187"/>
      <c r="C2" s="187"/>
      <c r="D2" s="187"/>
      <c r="E2" s="187"/>
      <c r="F2" s="187"/>
      <c r="G2" s="187"/>
      <c r="H2" s="187"/>
      <c r="I2" s="187"/>
    </row>
    <row r="3" spans="1:9" x14ac:dyDescent="0.25">
      <c r="A3" s="186" t="s">
        <v>45</v>
      </c>
      <c r="B3" s="187"/>
      <c r="C3" s="187"/>
      <c r="D3" s="187"/>
      <c r="E3" s="187"/>
      <c r="F3" s="187"/>
      <c r="G3" s="187"/>
      <c r="H3" s="187"/>
      <c r="I3" s="187"/>
    </row>
    <row r="4" spans="1:9" x14ac:dyDescent="0.25">
      <c r="A4" s="186" t="s">
        <v>46</v>
      </c>
      <c r="B4" s="187"/>
      <c r="C4" s="187"/>
      <c r="D4" s="187"/>
      <c r="E4" s="187"/>
      <c r="F4" s="187"/>
      <c r="G4" s="187"/>
      <c r="H4" s="187"/>
      <c r="I4" s="187"/>
    </row>
    <row r="6" spans="1:9" ht="15.75" thickBot="1" x14ac:dyDescent="0.3"/>
    <row r="7" spans="1:9" x14ac:dyDescent="0.25">
      <c r="A7" s="191" t="s">
        <v>0</v>
      </c>
      <c r="B7" s="188" t="s">
        <v>1</v>
      </c>
      <c r="C7" s="188" t="s">
        <v>2</v>
      </c>
      <c r="D7" s="188" t="s">
        <v>3</v>
      </c>
      <c r="E7" s="188" t="s">
        <v>4</v>
      </c>
      <c r="F7" s="194"/>
      <c r="G7" s="194"/>
      <c r="H7" s="194"/>
      <c r="I7" s="195" t="s">
        <v>259</v>
      </c>
    </row>
    <row r="8" spans="1:9" ht="15" customHeight="1" x14ac:dyDescent="0.25">
      <c r="A8" s="192"/>
      <c r="B8" s="189"/>
      <c r="C8" s="189"/>
      <c r="D8" s="189"/>
      <c r="E8" s="198" t="s">
        <v>257</v>
      </c>
      <c r="F8" s="199"/>
      <c r="G8" s="198" t="s">
        <v>258</v>
      </c>
      <c r="H8" s="199"/>
      <c r="I8" s="196"/>
    </row>
    <row r="9" spans="1:9" ht="19.899999999999999" customHeight="1" thickBot="1" x14ac:dyDescent="0.3">
      <c r="A9" s="193"/>
      <c r="B9" s="190"/>
      <c r="C9" s="190"/>
      <c r="D9" s="190"/>
      <c r="E9" s="20" t="s">
        <v>5</v>
      </c>
      <c r="F9" s="20" t="s">
        <v>6</v>
      </c>
      <c r="G9" s="20" t="s">
        <v>5</v>
      </c>
      <c r="H9" s="20" t="s">
        <v>6</v>
      </c>
      <c r="I9" s="197"/>
    </row>
    <row r="10" spans="1:9" ht="15.75" thickBot="1" x14ac:dyDescent="0.3">
      <c r="A10" s="81"/>
      <c r="B10" s="82" t="s">
        <v>7</v>
      </c>
      <c r="C10" s="83"/>
      <c r="D10" s="84"/>
      <c r="E10" s="85"/>
      <c r="F10" s="85"/>
      <c r="G10" s="85"/>
      <c r="H10" s="85"/>
      <c r="I10" s="86">
        <f>SUM(I11:I288)</f>
        <v>4409309.9970277399</v>
      </c>
    </row>
    <row r="11" spans="1:9" s="36" customFormat="1" ht="42.75" x14ac:dyDescent="0.25">
      <c r="A11" s="93" t="s">
        <v>62</v>
      </c>
      <c r="B11" s="33" t="s">
        <v>55</v>
      </c>
      <c r="C11" s="32" t="s">
        <v>8</v>
      </c>
      <c r="D11" s="34">
        <v>19338.599999999999</v>
      </c>
      <c r="E11" s="34">
        <v>50</v>
      </c>
      <c r="F11" s="34">
        <f>D11*E11</f>
        <v>966929.99999999988</v>
      </c>
      <c r="G11" s="34">
        <f>H11/D11</f>
        <v>77.003499999999988</v>
      </c>
      <c r="H11" s="35">
        <f>SUM(H12:H14)</f>
        <v>1489139.8850999996</v>
      </c>
      <c r="I11" s="94">
        <f>F11+H11</f>
        <v>2456069.8850999996</v>
      </c>
    </row>
    <row r="12" spans="1:9" ht="15" customHeight="1" x14ac:dyDescent="0.25">
      <c r="A12" s="95"/>
      <c r="B12" s="14" t="s">
        <v>107</v>
      </c>
      <c r="C12" s="9" t="s">
        <v>8</v>
      </c>
      <c r="D12" s="16">
        <f>D11*1.1</f>
        <v>21272.46</v>
      </c>
      <c r="E12" s="16"/>
      <c r="F12" s="16"/>
      <c r="G12" s="16">
        <v>4.7</v>
      </c>
      <c r="H12" s="17">
        <f>D12*G12</f>
        <v>99980.562000000005</v>
      </c>
      <c r="I12" s="96"/>
    </row>
    <row r="13" spans="1:9" s="18" customFormat="1" outlineLevel="1" x14ac:dyDescent="0.25">
      <c r="A13" s="97"/>
      <c r="B13" s="6" t="s">
        <v>393</v>
      </c>
      <c r="C13" s="7" t="s">
        <v>51</v>
      </c>
      <c r="D13" s="144">
        <f>(D11*400*0.075*1.02)/1000</f>
        <v>591.7611599999999</v>
      </c>
      <c r="E13" s="17"/>
      <c r="F13" s="17"/>
      <c r="G13" s="17">
        <v>1620</v>
      </c>
      <c r="H13" s="17">
        <f t="shared" ref="H13:H14" si="0">D13*G13</f>
        <v>958653.0791999998</v>
      </c>
      <c r="I13" s="98"/>
    </row>
    <row r="14" spans="1:9" s="18" customFormat="1" outlineLevel="1" x14ac:dyDescent="0.25">
      <c r="A14" s="97"/>
      <c r="B14" s="6" t="s">
        <v>86</v>
      </c>
      <c r="C14" s="7" t="s">
        <v>51</v>
      </c>
      <c r="D14" s="8">
        <f>(D11*1940*0.075*1.02)/1000</f>
        <v>2870.0416259999997</v>
      </c>
      <c r="E14" s="17"/>
      <c r="F14" s="17"/>
      <c r="G14" s="17">
        <v>150</v>
      </c>
      <c r="H14" s="17">
        <f t="shared" si="0"/>
        <v>430506.24389999994</v>
      </c>
      <c r="I14" s="98"/>
    </row>
    <row r="15" spans="1:9" s="36" customFormat="1" ht="28.5" x14ac:dyDescent="0.25">
      <c r="A15" s="99" t="s">
        <v>64</v>
      </c>
      <c r="B15" s="38" t="s">
        <v>56</v>
      </c>
      <c r="C15" s="37" t="s">
        <v>8</v>
      </c>
      <c r="D15" s="39">
        <v>125.14</v>
      </c>
      <c r="E15" s="34">
        <f>E11</f>
        <v>50</v>
      </c>
      <c r="F15" s="39">
        <f>D15*E15</f>
        <v>6257</v>
      </c>
      <c r="G15" s="39">
        <f>H15/D15</f>
        <v>71.833500000000015</v>
      </c>
      <c r="H15" s="39">
        <f>SUM(H16:H17)</f>
        <v>8989.2441900000013</v>
      </c>
      <c r="I15" s="100">
        <f>F15+H15</f>
        <v>15246.244190000001</v>
      </c>
    </row>
    <row r="16" spans="1:9" s="18" customFormat="1" outlineLevel="1" x14ac:dyDescent="0.25">
      <c r="A16" s="97"/>
      <c r="B16" s="6" t="s">
        <v>393</v>
      </c>
      <c r="C16" s="29" t="s">
        <v>51</v>
      </c>
      <c r="D16" s="8">
        <f>(D15*400*0.075*1.02)/1000</f>
        <v>3.8292839999999999</v>
      </c>
      <c r="E16" s="17"/>
      <c r="F16" s="17"/>
      <c r="G16" s="17">
        <v>1620</v>
      </c>
      <c r="H16" s="17">
        <f>D16*G16</f>
        <v>6203.4400800000003</v>
      </c>
      <c r="I16" s="98"/>
    </row>
    <row r="17" spans="1:9" s="18" customFormat="1" outlineLevel="1" x14ac:dyDescent="0.25">
      <c r="A17" s="97"/>
      <c r="B17" s="6" t="s">
        <v>86</v>
      </c>
      <c r="C17" s="29" t="s">
        <v>51</v>
      </c>
      <c r="D17" s="8">
        <f>(D15*1940*0.075*1.02)/1000</f>
        <v>18.5720274</v>
      </c>
      <c r="E17" s="17"/>
      <c r="F17" s="17"/>
      <c r="G17" s="17">
        <v>150</v>
      </c>
      <c r="H17" s="17">
        <f>D17*G17</f>
        <v>2785.80411</v>
      </c>
      <c r="I17" s="98"/>
    </row>
    <row r="18" spans="1:9" s="36" customFormat="1" ht="28.5" x14ac:dyDescent="0.25">
      <c r="A18" s="99" t="s">
        <v>65</v>
      </c>
      <c r="B18" s="38" t="s">
        <v>57</v>
      </c>
      <c r="C18" s="37" t="s">
        <v>8</v>
      </c>
      <c r="D18" s="39">
        <v>105.88</v>
      </c>
      <c r="E18" s="34">
        <f>E11</f>
        <v>50</v>
      </c>
      <c r="F18" s="39">
        <f>D18*E18</f>
        <v>5294</v>
      </c>
      <c r="G18" s="39">
        <f>H18/D18</f>
        <v>71.833500000000001</v>
      </c>
      <c r="H18" s="39">
        <f>SUM(H19:H20)</f>
        <v>7605.7309800000003</v>
      </c>
      <c r="I18" s="100">
        <f>F18+H18</f>
        <v>12899.73098</v>
      </c>
    </row>
    <row r="19" spans="1:9" s="18" customFormat="1" outlineLevel="1" x14ac:dyDescent="0.25">
      <c r="A19" s="97"/>
      <c r="B19" s="6" t="s">
        <v>393</v>
      </c>
      <c r="C19" s="29" t="s">
        <v>51</v>
      </c>
      <c r="D19" s="8">
        <f>(D18*400*0.075*1.02)/1000</f>
        <v>3.2399280000000004</v>
      </c>
      <c r="E19" s="17"/>
      <c r="F19" s="17"/>
      <c r="G19" s="17">
        <v>1620</v>
      </c>
      <c r="H19" s="17">
        <f>D19*G19</f>
        <v>5248.6833600000009</v>
      </c>
      <c r="I19" s="98"/>
    </row>
    <row r="20" spans="1:9" s="18" customFormat="1" outlineLevel="1" x14ac:dyDescent="0.25">
      <c r="A20" s="101"/>
      <c r="B20" s="28" t="s">
        <v>86</v>
      </c>
      <c r="C20" s="29" t="s">
        <v>51</v>
      </c>
      <c r="D20" s="30">
        <f>(D18*1940*0.075*1.02)/1000</f>
        <v>15.713650799999998</v>
      </c>
      <c r="E20" s="31"/>
      <c r="F20" s="31"/>
      <c r="G20" s="17">
        <v>150</v>
      </c>
      <c r="H20" s="17">
        <f>D20*G20</f>
        <v>2357.0476199999998</v>
      </c>
      <c r="I20" s="102"/>
    </row>
    <row r="21" spans="1:9" s="5" customFormat="1" ht="14.45" customHeight="1" x14ac:dyDescent="0.25">
      <c r="A21" s="103" t="s">
        <v>66</v>
      </c>
      <c r="B21" s="11" t="s">
        <v>9</v>
      </c>
      <c r="C21" s="43"/>
      <c r="D21" s="12"/>
      <c r="E21" s="13"/>
      <c r="F21" s="13"/>
      <c r="G21" s="13"/>
      <c r="H21" s="13"/>
      <c r="I21" s="104"/>
    </row>
    <row r="22" spans="1:9" s="36" customFormat="1" ht="28.5" x14ac:dyDescent="0.25">
      <c r="A22" s="93" t="s">
        <v>69</v>
      </c>
      <c r="B22" s="41" t="s">
        <v>60</v>
      </c>
      <c r="C22" s="32" t="s">
        <v>8</v>
      </c>
      <c r="D22" s="34">
        <v>47.79</v>
      </c>
      <c r="E22" s="34">
        <f>E11</f>
        <v>50</v>
      </c>
      <c r="F22" s="34">
        <f>D22*E22</f>
        <v>2389.5</v>
      </c>
      <c r="G22" s="34">
        <f>H22/D22</f>
        <v>77.003500000000003</v>
      </c>
      <c r="H22" s="34">
        <f>SUM(H23:H25)</f>
        <v>3679.997265</v>
      </c>
      <c r="I22" s="94">
        <f>F22+H22</f>
        <v>6069.497265</v>
      </c>
    </row>
    <row r="23" spans="1:9" ht="15" customHeight="1" x14ac:dyDescent="0.25">
      <c r="A23" s="95"/>
      <c r="B23" s="14" t="s">
        <v>107</v>
      </c>
      <c r="C23" s="9" t="s">
        <v>8</v>
      </c>
      <c r="D23" s="16">
        <f>D22*1.1</f>
        <v>52.569000000000003</v>
      </c>
      <c r="E23" s="10"/>
      <c r="F23" s="10"/>
      <c r="G23" s="16">
        <v>4.7</v>
      </c>
      <c r="H23" s="17">
        <f>D23*G23</f>
        <v>247.07430000000002</v>
      </c>
      <c r="I23" s="96"/>
    </row>
    <row r="24" spans="1:9" s="18" customFormat="1" outlineLevel="1" x14ac:dyDescent="0.25">
      <c r="A24" s="97"/>
      <c r="B24" s="6" t="s">
        <v>393</v>
      </c>
      <c r="C24" s="7" t="s">
        <v>51</v>
      </c>
      <c r="D24" s="8">
        <f>(D22*400*0.075*1.02)/1000</f>
        <v>1.4623740000000001</v>
      </c>
      <c r="E24" s="17"/>
      <c r="F24" s="17"/>
      <c r="G24" s="17">
        <v>1620</v>
      </c>
      <c r="H24" s="17">
        <f t="shared" ref="H24:H25" si="1">D24*G24</f>
        <v>2369.0458800000001</v>
      </c>
      <c r="I24" s="98"/>
    </row>
    <row r="25" spans="1:9" s="18" customFormat="1" outlineLevel="1" x14ac:dyDescent="0.25">
      <c r="A25" s="97"/>
      <c r="B25" s="6" t="s">
        <v>86</v>
      </c>
      <c r="C25" s="7" t="s">
        <v>51</v>
      </c>
      <c r="D25" s="8">
        <f>(D22*1940*0.075*1.02)/1000</f>
        <v>7.0925138999999993</v>
      </c>
      <c r="E25" s="17"/>
      <c r="F25" s="17"/>
      <c r="G25" s="17">
        <v>150</v>
      </c>
      <c r="H25" s="17">
        <f t="shared" si="1"/>
        <v>1063.8770849999999</v>
      </c>
      <c r="I25" s="98"/>
    </row>
    <row r="26" spans="1:9" s="36" customFormat="1" ht="14.45" customHeight="1" x14ac:dyDescent="0.25">
      <c r="A26" s="99" t="s">
        <v>70</v>
      </c>
      <c r="B26" s="42" t="s">
        <v>61</v>
      </c>
      <c r="C26" s="37" t="s">
        <v>8</v>
      </c>
      <c r="D26" s="39">
        <v>47.79</v>
      </c>
      <c r="E26" s="39">
        <v>118</v>
      </c>
      <c r="F26" s="39">
        <f>D26*E26</f>
        <v>5639.22</v>
      </c>
      <c r="G26" s="39">
        <f>H26/D26</f>
        <v>133.70927250000003</v>
      </c>
      <c r="H26" s="39">
        <f>SUM(H27:H29)</f>
        <v>6389.9661327750009</v>
      </c>
      <c r="I26" s="100">
        <f>F26+H26</f>
        <v>12029.186132775001</v>
      </c>
    </row>
    <row r="27" spans="1:9" ht="14.25" customHeight="1" x14ac:dyDescent="0.25">
      <c r="A27" s="95"/>
      <c r="B27" s="14" t="s">
        <v>98</v>
      </c>
      <c r="C27" s="9" t="s">
        <v>8</v>
      </c>
      <c r="D27" s="16">
        <f>D26*1.05</f>
        <v>50.179500000000004</v>
      </c>
      <c r="E27" s="10"/>
      <c r="F27" s="10"/>
      <c r="G27" s="16">
        <f>112.8*1.02</f>
        <v>115.056</v>
      </c>
      <c r="H27" s="17">
        <f>D27*G27</f>
        <v>5773.4525520000007</v>
      </c>
      <c r="I27" s="96"/>
    </row>
    <row r="28" spans="1:9" x14ac:dyDescent="0.25">
      <c r="A28" s="95"/>
      <c r="B28" s="26" t="s">
        <v>52</v>
      </c>
      <c r="C28" s="27" t="s">
        <v>47</v>
      </c>
      <c r="D28" s="16">
        <f>D26*0.15</f>
        <v>7.1684999999999999</v>
      </c>
      <c r="E28" s="10"/>
      <c r="F28" s="10"/>
      <c r="G28" s="16">
        <f>6.605*1.03</f>
        <v>6.8031500000000005</v>
      </c>
      <c r="H28" s="17">
        <f t="shared" ref="H28:H30" si="2">D28*G28</f>
        <v>48.768380775000004</v>
      </c>
      <c r="I28" s="96"/>
    </row>
    <row r="29" spans="1:9" x14ac:dyDescent="0.25">
      <c r="A29" s="95"/>
      <c r="B29" s="26" t="s">
        <v>53</v>
      </c>
      <c r="C29" s="27" t="s">
        <v>47</v>
      </c>
      <c r="D29" s="16">
        <f>D26*6</f>
        <v>286.74</v>
      </c>
      <c r="E29" s="10"/>
      <c r="F29" s="10"/>
      <c r="G29" s="16">
        <v>1.98</v>
      </c>
      <c r="H29" s="17">
        <f t="shared" si="2"/>
        <v>567.74520000000007</v>
      </c>
      <c r="I29" s="96"/>
    </row>
    <row r="30" spans="1:9" x14ac:dyDescent="0.25">
      <c r="A30" s="95"/>
      <c r="B30" s="26" t="s">
        <v>172</v>
      </c>
      <c r="C30" s="27" t="s">
        <v>47</v>
      </c>
      <c r="D30" s="16">
        <f>D26*0.4</f>
        <v>19.116</v>
      </c>
      <c r="E30" s="10"/>
      <c r="F30" s="10"/>
      <c r="G30" s="16">
        <v>20.25</v>
      </c>
      <c r="H30" s="17">
        <f t="shared" si="2"/>
        <v>387.09899999999999</v>
      </c>
      <c r="I30" s="96"/>
    </row>
    <row r="31" spans="1:9" s="5" customFormat="1" ht="14.45" customHeight="1" x14ac:dyDescent="0.25">
      <c r="A31" s="103" t="s">
        <v>63</v>
      </c>
      <c r="B31" s="11" t="s">
        <v>10</v>
      </c>
      <c r="C31" s="43"/>
      <c r="D31" s="12"/>
      <c r="E31" s="13"/>
      <c r="F31" s="13"/>
      <c r="G31" s="13"/>
      <c r="H31" s="13"/>
      <c r="I31" s="104"/>
    </row>
    <row r="32" spans="1:9" s="36" customFormat="1" ht="28.5" x14ac:dyDescent="0.25">
      <c r="A32" s="99" t="s">
        <v>71</v>
      </c>
      <c r="B32" s="42" t="s">
        <v>54</v>
      </c>
      <c r="C32" s="37" t="s">
        <v>8</v>
      </c>
      <c r="D32" s="39">
        <v>14.38</v>
      </c>
      <c r="E32" s="39">
        <v>25</v>
      </c>
      <c r="F32" s="39">
        <f>D32*E32</f>
        <v>359.5</v>
      </c>
      <c r="G32" s="39">
        <f>H32/D32</f>
        <v>38.370472500000005</v>
      </c>
      <c r="H32" s="39">
        <f>SUM(H33:H34)</f>
        <v>551.76739455000006</v>
      </c>
      <c r="I32" s="100">
        <f>F32+H32</f>
        <v>911.26739455000006</v>
      </c>
    </row>
    <row r="33" spans="1:9" x14ac:dyDescent="0.25">
      <c r="A33" s="99"/>
      <c r="B33" s="26" t="s">
        <v>52</v>
      </c>
      <c r="C33" s="27" t="s">
        <v>47</v>
      </c>
      <c r="D33" s="16">
        <f>D32*0.15</f>
        <v>2.157</v>
      </c>
      <c r="E33" s="10"/>
      <c r="F33" s="10"/>
      <c r="G33" s="16">
        <f>6.605*1.03</f>
        <v>6.8031500000000005</v>
      </c>
      <c r="H33" s="17">
        <f>D33*G33</f>
        <v>14.674394550000001</v>
      </c>
      <c r="I33" s="96"/>
    </row>
    <row r="34" spans="1:9" ht="14.25" customHeight="1" x14ac:dyDescent="0.25">
      <c r="A34" s="95"/>
      <c r="B34" s="14" t="s">
        <v>59</v>
      </c>
      <c r="C34" s="9" t="s">
        <v>47</v>
      </c>
      <c r="D34" s="145">
        <f>D32*5</f>
        <v>71.900000000000006</v>
      </c>
      <c r="E34" s="10"/>
      <c r="F34" s="10"/>
      <c r="G34" s="16">
        <v>7.47</v>
      </c>
      <c r="H34" s="17">
        <f>D34*G34</f>
        <v>537.09300000000007</v>
      </c>
      <c r="I34" s="96"/>
    </row>
    <row r="35" spans="1:9" s="36" customFormat="1" ht="28.5" x14ac:dyDescent="0.25">
      <c r="A35" s="99" t="s">
        <v>72</v>
      </c>
      <c r="B35" s="42" t="s">
        <v>58</v>
      </c>
      <c r="C35" s="37" t="s">
        <v>8</v>
      </c>
      <c r="D35" s="39">
        <v>8.2100000000000009</v>
      </c>
      <c r="E35" s="34">
        <f>E11</f>
        <v>50</v>
      </c>
      <c r="F35" s="39">
        <f>D35*E35</f>
        <v>410.50000000000006</v>
      </c>
      <c r="G35" s="39">
        <f>H35/D35</f>
        <v>48.712971498172962</v>
      </c>
      <c r="H35" s="39">
        <f>SUM(H36:H37)</f>
        <v>399.93349600000005</v>
      </c>
      <c r="I35" s="100">
        <f>F35+H35</f>
        <v>810.4334960000001</v>
      </c>
    </row>
    <row r="36" spans="1:9" ht="15" customHeight="1" x14ac:dyDescent="0.25">
      <c r="A36" s="95"/>
      <c r="B36" s="14" t="s">
        <v>107</v>
      </c>
      <c r="C36" s="9" t="s">
        <v>8</v>
      </c>
      <c r="D36" s="16">
        <f>D32*1.1</f>
        <v>15.818000000000001</v>
      </c>
      <c r="E36" s="10"/>
      <c r="F36" s="10"/>
      <c r="G36" s="16">
        <v>4.7</v>
      </c>
      <c r="H36" s="17">
        <f>D36*G36</f>
        <v>74.344600000000014</v>
      </c>
      <c r="I36" s="96"/>
    </row>
    <row r="37" spans="1:9" s="18" customFormat="1" outlineLevel="1" x14ac:dyDescent="0.25">
      <c r="A37" s="97"/>
      <c r="B37" s="6" t="s">
        <v>393</v>
      </c>
      <c r="C37" s="7" t="s">
        <v>51</v>
      </c>
      <c r="D37" s="8">
        <f>(D35*400*0.06*1.02)/1000</f>
        <v>0.20098080000000001</v>
      </c>
      <c r="E37" s="17"/>
      <c r="F37" s="17"/>
      <c r="G37" s="17">
        <v>1620</v>
      </c>
      <c r="H37" s="17">
        <f t="shared" ref="H37:H38" si="3">D37*G37</f>
        <v>325.58889600000003</v>
      </c>
      <c r="I37" s="98"/>
    </row>
    <row r="38" spans="1:9" s="18" customFormat="1" outlineLevel="1" x14ac:dyDescent="0.25">
      <c r="A38" s="97"/>
      <c r="B38" s="6" t="s">
        <v>86</v>
      </c>
      <c r="C38" s="7" t="s">
        <v>51</v>
      </c>
      <c r="D38" s="8">
        <f>(D35*1940*0.06*1.02)/1000</f>
        <v>0.97475688000000005</v>
      </c>
      <c r="E38" s="17"/>
      <c r="F38" s="17"/>
      <c r="G38" s="17">
        <v>150</v>
      </c>
      <c r="H38" s="17">
        <f t="shared" si="3"/>
        <v>146.21353200000001</v>
      </c>
      <c r="I38" s="98"/>
    </row>
    <row r="39" spans="1:9" s="36" customFormat="1" ht="14.45" customHeight="1" x14ac:dyDescent="0.25">
      <c r="A39" s="99" t="s">
        <v>73</v>
      </c>
      <c r="B39" s="42" t="s">
        <v>61</v>
      </c>
      <c r="C39" s="37" t="s">
        <v>8</v>
      </c>
      <c r="D39" s="39">
        <v>8.2100000000000009</v>
      </c>
      <c r="E39" s="39">
        <f>E26</f>
        <v>118</v>
      </c>
      <c r="F39" s="39">
        <f>D39*E39</f>
        <v>968.78000000000009</v>
      </c>
      <c r="G39" s="39">
        <f>H39/D39</f>
        <v>98.910472500000012</v>
      </c>
      <c r="H39" s="39">
        <f>SUM(H40:H43)</f>
        <v>812.05497922500012</v>
      </c>
      <c r="I39" s="100">
        <f>F39+H39</f>
        <v>1780.8349792250001</v>
      </c>
    </row>
    <row r="40" spans="1:9" x14ac:dyDescent="0.25">
      <c r="A40" s="95"/>
      <c r="B40" s="26" t="s">
        <v>52</v>
      </c>
      <c r="C40" s="27" t="s">
        <v>47</v>
      </c>
      <c r="D40" s="16">
        <f>D39*0.15</f>
        <v>1.2315</v>
      </c>
      <c r="E40" s="10"/>
      <c r="F40" s="10"/>
      <c r="G40" s="16">
        <f>6.605*1.03</f>
        <v>6.8031500000000005</v>
      </c>
      <c r="H40" s="17">
        <f>D40*G40</f>
        <v>8.3780792250000005</v>
      </c>
      <c r="I40" s="96"/>
    </row>
    <row r="41" spans="1:9" ht="14.25" customHeight="1" x14ac:dyDescent="0.25">
      <c r="A41" s="95"/>
      <c r="B41" s="14" t="s">
        <v>87</v>
      </c>
      <c r="C41" s="9" t="s">
        <v>8</v>
      </c>
      <c r="D41" s="16">
        <f>D39*1.05</f>
        <v>8.6205000000000016</v>
      </c>
      <c r="E41" s="10"/>
      <c r="F41" s="10"/>
      <c r="G41" s="16">
        <v>74.2</v>
      </c>
      <c r="H41" s="17">
        <f t="shared" ref="H41:H43" si="4">D41*G41</f>
        <v>639.64110000000016</v>
      </c>
      <c r="I41" s="96"/>
    </row>
    <row r="42" spans="1:9" x14ac:dyDescent="0.25">
      <c r="A42" s="95"/>
      <c r="B42" s="26" t="s">
        <v>53</v>
      </c>
      <c r="C42" s="27" t="s">
        <v>47</v>
      </c>
      <c r="D42" s="16">
        <f>D39*6</f>
        <v>49.260000000000005</v>
      </c>
      <c r="E42" s="10"/>
      <c r="F42" s="10"/>
      <c r="G42" s="16">
        <v>1.98</v>
      </c>
      <c r="H42" s="17">
        <f t="shared" si="4"/>
        <v>97.534800000000004</v>
      </c>
      <c r="I42" s="96"/>
    </row>
    <row r="43" spans="1:9" x14ac:dyDescent="0.25">
      <c r="A43" s="95"/>
      <c r="B43" s="26" t="s">
        <v>172</v>
      </c>
      <c r="C43" s="27" t="s">
        <v>47</v>
      </c>
      <c r="D43" s="16">
        <f>D39*0.4</f>
        <v>3.2840000000000007</v>
      </c>
      <c r="E43" s="10"/>
      <c r="F43" s="10"/>
      <c r="G43" s="16">
        <v>20.25</v>
      </c>
      <c r="H43" s="17">
        <f t="shared" si="4"/>
        <v>66.501000000000019</v>
      </c>
      <c r="I43" s="96"/>
    </row>
    <row r="44" spans="1:9" s="5" customFormat="1" ht="15.75" customHeight="1" x14ac:dyDescent="0.25">
      <c r="A44" s="103" t="s">
        <v>67</v>
      </c>
      <c r="B44" s="11" t="s">
        <v>11</v>
      </c>
      <c r="C44" s="43"/>
      <c r="D44" s="19"/>
      <c r="E44" s="13"/>
      <c r="F44" s="13"/>
      <c r="G44" s="13"/>
      <c r="H44" s="13"/>
      <c r="I44" s="104"/>
    </row>
    <row r="45" spans="1:9" x14ac:dyDescent="0.25">
      <c r="A45" s="99" t="s">
        <v>77</v>
      </c>
      <c r="B45" s="42" t="s">
        <v>74</v>
      </c>
      <c r="C45" s="43" t="s">
        <v>8</v>
      </c>
      <c r="D45" s="147">
        <v>932.64</v>
      </c>
      <c r="E45" s="39">
        <v>40</v>
      </c>
      <c r="F45" s="39">
        <f>D45*E45</f>
        <v>37305.599999999999</v>
      </c>
      <c r="G45" s="39">
        <f>H45/D45</f>
        <v>19.941472500000003</v>
      </c>
      <c r="H45" s="39">
        <f>SUM(H46:H47)</f>
        <v>18598.214912400003</v>
      </c>
      <c r="I45" s="100">
        <f>F45+H45</f>
        <v>55903.814912400005</v>
      </c>
    </row>
    <row r="46" spans="1:9" x14ac:dyDescent="0.25">
      <c r="A46" s="99"/>
      <c r="B46" s="26" t="s">
        <v>52</v>
      </c>
      <c r="C46" s="27" t="s">
        <v>47</v>
      </c>
      <c r="D46" s="16">
        <f>D45*0.15</f>
        <v>139.89599999999999</v>
      </c>
      <c r="E46" s="10"/>
      <c r="F46" s="10"/>
      <c r="G46" s="16">
        <f>6.605*1.03</f>
        <v>6.8031500000000005</v>
      </c>
      <c r="H46" s="17">
        <f>D46*G46</f>
        <v>951.73347239999998</v>
      </c>
      <c r="I46" s="96"/>
    </row>
    <row r="47" spans="1:9" ht="14.25" customHeight="1" x14ac:dyDescent="0.25">
      <c r="A47" s="99"/>
      <c r="B47" s="14" t="s">
        <v>76</v>
      </c>
      <c r="C47" s="9" t="s">
        <v>47</v>
      </c>
      <c r="D47" s="16">
        <f>D45*0.34</f>
        <v>317.0976</v>
      </c>
      <c r="E47" s="10"/>
      <c r="F47" s="10"/>
      <c r="G47" s="16">
        <v>55.650000000000006</v>
      </c>
      <c r="H47" s="17">
        <f>D47*G47</f>
        <v>17646.481440000003</v>
      </c>
      <c r="I47" s="96"/>
    </row>
    <row r="48" spans="1:9" s="36" customFormat="1" ht="14.45" customHeight="1" x14ac:dyDescent="0.25">
      <c r="A48" s="169" t="s">
        <v>378</v>
      </c>
      <c r="B48" s="154" t="s">
        <v>61</v>
      </c>
      <c r="C48" s="178" t="s">
        <v>8</v>
      </c>
      <c r="D48" s="146">
        <v>399.39</v>
      </c>
      <c r="E48" s="39">
        <f>E26</f>
        <v>118</v>
      </c>
      <c r="F48" s="39">
        <f>D48*E48</f>
        <v>47128.02</v>
      </c>
      <c r="G48" s="39">
        <f>H48/D48</f>
        <v>98.910472500000012</v>
      </c>
      <c r="H48" s="39">
        <f>SUM(H49:H52)</f>
        <v>39503.853611775005</v>
      </c>
      <c r="I48" s="100">
        <f>F48+H48</f>
        <v>86631.873611774994</v>
      </c>
    </row>
    <row r="49" spans="1:9" x14ac:dyDescent="0.25">
      <c r="A49" s="95"/>
      <c r="B49" s="26" t="s">
        <v>52</v>
      </c>
      <c r="C49" s="27" t="s">
        <v>47</v>
      </c>
      <c r="D49" s="16">
        <f>D48*0.15</f>
        <v>59.908499999999997</v>
      </c>
      <c r="E49" s="10"/>
      <c r="F49" s="10"/>
      <c r="G49" s="16">
        <f>6.605*1.03</f>
        <v>6.8031500000000005</v>
      </c>
      <c r="H49" s="17">
        <f>D49*G49</f>
        <v>407.56651177499998</v>
      </c>
      <c r="I49" s="96"/>
    </row>
    <row r="50" spans="1:9" ht="14.25" customHeight="1" x14ac:dyDescent="0.25">
      <c r="A50" s="95"/>
      <c r="B50" s="14" t="s">
        <v>87</v>
      </c>
      <c r="C50" s="9" t="s">
        <v>8</v>
      </c>
      <c r="D50" s="16">
        <f>D48*1.05</f>
        <v>419.35950000000003</v>
      </c>
      <c r="E50" s="10"/>
      <c r="F50" s="10"/>
      <c r="G50" s="16">
        <v>74.2</v>
      </c>
      <c r="H50" s="17">
        <f t="shared" ref="H50:H52" si="5">D50*G50</f>
        <v>31116.474900000005</v>
      </c>
      <c r="I50" s="96"/>
    </row>
    <row r="51" spans="1:9" x14ac:dyDescent="0.25">
      <c r="A51" s="95"/>
      <c r="B51" s="26" t="s">
        <v>53</v>
      </c>
      <c r="C51" s="27" t="s">
        <v>47</v>
      </c>
      <c r="D51" s="16">
        <f>D48*6</f>
        <v>2396.34</v>
      </c>
      <c r="E51" s="10"/>
      <c r="F51" s="10"/>
      <c r="G51" s="16">
        <v>1.98</v>
      </c>
      <c r="H51" s="17">
        <f t="shared" si="5"/>
        <v>4744.7532000000001</v>
      </c>
      <c r="I51" s="96"/>
    </row>
    <row r="52" spans="1:9" x14ac:dyDescent="0.25">
      <c r="A52" s="95"/>
      <c r="B52" s="26" t="s">
        <v>172</v>
      </c>
      <c r="C52" s="27" t="s">
        <v>47</v>
      </c>
      <c r="D52" s="16">
        <f>D48*0.4</f>
        <v>159.756</v>
      </c>
      <c r="E52" s="10"/>
      <c r="F52" s="10"/>
      <c r="G52" s="16">
        <v>20.25</v>
      </c>
      <c r="H52" s="17">
        <f t="shared" si="5"/>
        <v>3235.0590000000002</v>
      </c>
      <c r="I52" s="96"/>
    </row>
    <row r="53" spans="1:9" ht="28.5" x14ac:dyDescent="0.25">
      <c r="A53" s="99" t="s">
        <v>379</v>
      </c>
      <c r="B53" s="42" t="s">
        <v>75</v>
      </c>
      <c r="C53" s="37" t="s">
        <v>12</v>
      </c>
      <c r="D53" s="146">
        <f>1341.15+510.09</f>
        <v>1851.24</v>
      </c>
      <c r="E53" s="39">
        <v>20</v>
      </c>
      <c r="F53" s="39">
        <f>D53*E53</f>
        <v>37024.800000000003</v>
      </c>
      <c r="G53" s="39">
        <f>H53/D53</f>
        <v>9.8910472500000015</v>
      </c>
      <c r="H53" s="39">
        <f>SUM(H54:H57)</f>
        <v>18310.702311090005</v>
      </c>
      <c r="I53" s="100">
        <f>F53+H53</f>
        <v>55335.502311090007</v>
      </c>
    </row>
    <row r="54" spans="1:9" x14ac:dyDescent="0.25">
      <c r="A54" s="95"/>
      <c r="B54" s="26" t="s">
        <v>52</v>
      </c>
      <c r="C54" s="27" t="s">
        <v>47</v>
      </c>
      <c r="D54" s="16">
        <f>D53*0.15*0.1</f>
        <v>27.768599999999999</v>
      </c>
      <c r="E54" s="10"/>
      <c r="F54" s="10"/>
      <c r="G54" s="16">
        <f>6.605*1.03</f>
        <v>6.8031500000000005</v>
      </c>
      <c r="H54" s="17">
        <f>D54*G54</f>
        <v>188.91395109000001</v>
      </c>
      <c r="I54" s="96"/>
    </row>
    <row r="55" spans="1:9" ht="14.25" customHeight="1" x14ac:dyDescent="0.25">
      <c r="A55" s="95"/>
      <c r="B55" s="14" t="s">
        <v>87</v>
      </c>
      <c r="C55" s="9" t="s">
        <v>8</v>
      </c>
      <c r="D55" s="16">
        <f>D53*1.05*0.1</f>
        <v>194.38020000000003</v>
      </c>
      <c r="E55" s="10"/>
      <c r="F55" s="10"/>
      <c r="G55" s="16">
        <v>74.2</v>
      </c>
      <c r="H55" s="17">
        <f t="shared" ref="H55:H57" si="6">D55*G55</f>
        <v>14423.010840000003</v>
      </c>
      <c r="I55" s="96"/>
    </row>
    <row r="56" spans="1:9" x14ac:dyDescent="0.25">
      <c r="A56" s="95"/>
      <c r="B56" s="26" t="s">
        <v>53</v>
      </c>
      <c r="C56" s="27" t="s">
        <v>47</v>
      </c>
      <c r="D56" s="16">
        <f>D53*6*0.1</f>
        <v>1110.7440000000001</v>
      </c>
      <c r="E56" s="10"/>
      <c r="F56" s="10"/>
      <c r="G56" s="16">
        <v>1.98</v>
      </c>
      <c r="H56" s="17">
        <f t="shared" si="6"/>
        <v>2199.2731200000003</v>
      </c>
      <c r="I56" s="96"/>
    </row>
    <row r="57" spans="1:9" x14ac:dyDescent="0.25">
      <c r="A57" s="95"/>
      <c r="B57" s="26" t="s">
        <v>172</v>
      </c>
      <c r="C57" s="27" t="s">
        <v>47</v>
      </c>
      <c r="D57" s="16">
        <f>D53*0.4*0.1</f>
        <v>74.049600000000012</v>
      </c>
      <c r="E57" s="10"/>
      <c r="F57" s="10"/>
      <c r="G57" s="16">
        <v>20.25</v>
      </c>
      <c r="H57" s="17">
        <f t="shared" si="6"/>
        <v>1499.5044000000003</v>
      </c>
      <c r="I57" s="96"/>
    </row>
    <row r="58" spans="1:9" s="5" customFormat="1" ht="14.45" customHeight="1" x14ac:dyDescent="0.25">
      <c r="A58" s="103" t="s">
        <v>68</v>
      </c>
      <c r="B58" s="11" t="s">
        <v>13</v>
      </c>
      <c r="C58" s="43"/>
      <c r="D58" s="19"/>
      <c r="E58" s="13"/>
      <c r="F58" s="13"/>
      <c r="G58" s="13"/>
      <c r="H58" s="13"/>
      <c r="I58" s="104"/>
    </row>
    <row r="59" spans="1:9" ht="28.5" x14ac:dyDescent="0.25">
      <c r="A59" s="99" t="s">
        <v>82</v>
      </c>
      <c r="B59" s="42" t="s">
        <v>80</v>
      </c>
      <c r="C59" s="37" t="s">
        <v>8</v>
      </c>
      <c r="D59" s="39">
        <v>661.41</v>
      </c>
      <c r="E59" s="34">
        <f>E11</f>
        <v>50</v>
      </c>
      <c r="F59" s="39">
        <f>D59*E59</f>
        <v>33070.5</v>
      </c>
      <c r="G59" s="39">
        <f>H59/D59</f>
        <v>62.255700000000004</v>
      </c>
      <c r="H59" s="39">
        <f>SUM(H60:H61)</f>
        <v>41176.542537000001</v>
      </c>
      <c r="I59" s="100">
        <f>F59+H59</f>
        <v>74247.042537000001</v>
      </c>
    </row>
    <row r="60" spans="1:9" s="18" customFormat="1" outlineLevel="1" x14ac:dyDescent="0.25">
      <c r="A60" s="105"/>
      <c r="B60" s="6" t="s">
        <v>393</v>
      </c>
      <c r="C60" s="29" t="s">
        <v>51</v>
      </c>
      <c r="D60" s="8">
        <f>(D59*400*0.065*1.02)/1000</f>
        <v>17.5405932</v>
      </c>
      <c r="E60" s="17"/>
      <c r="F60" s="17"/>
      <c r="G60" s="17">
        <v>1620</v>
      </c>
      <c r="H60" s="17">
        <f>D60*G60</f>
        <v>28415.760984</v>
      </c>
      <c r="I60" s="106"/>
    </row>
    <row r="61" spans="1:9" s="18" customFormat="1" outlineLevel="1" x14ac:dyDescent="0.25">
      <c r="A61" s="107"/>
      <c r="B61" s="28" t="s">
        <v>50</v>
      </c>
      <c r="C61" s="29" t="s">
        <v>51</v>
      </c>
      <c r="D61" s="30">
        <f>(D59*1940*0.065*1.02)/1000</f>
        <v>85.071877020000002</v>
      </c>
      <c r="E61" s="31"/>
      <c r="F61" s="31"/>
      <c r="G61" s="17">
        <v>150</v>
      </c>
      <c r="H61" s="17">
        <f>D61*G61</f>
        <v>12760.781553000001</v>
      </c>
      <c r="I61" s="108"/>
    </row>
    <row r="62" spans="1:9" ht="28.5" x14ac:dyDescent="0.25">
      <c r="A62" s="99" t="s">
        <v>83</v>
      </c>
      <c r="B62" s="42" t="s">
        <v>269</v>
      </c>
      <c r="C62" s="37" t="s">
        <v>8</v>
      </c>
      <c r="D62" s="39">
        <v>894.95</v>
      </c>
      <c r="E62" s="39">
        <v>25</v>
      </c>
      <c r="F62" s="39">
        <f>D62*E62</f>
        <v>22373.75</v>
      </c>
      <c r="G62" s="39">
        <f>H62/D62</f>
        <v>38.370472499999998</v>
      </c>
      <c r="H62" s="39">
        <f>SUM(H63:H64)</f>
        <v>34339.654363875001</v>
      </c>
      <c r="I62" s="100">
        <f>F62+H62</f>
        <v>56713.404363875001</v>
      </c>
    </row>
    <row r="63" spans="1:9" x14ac:dyDescent="0.25">
      <c r="A63" s="99"/>
      <c r="B63" s="26" t="s">
        <v>52</v>
      </c>
      <c r="C63" s="27" t="s">
        <v>47</v>
      </c>
      <c r="D63" s="16">
        <f>D62*0.15</f>
        <v>134.24250000000001</v>
      </c>
      <c r="E63" s="10"/>
      <c r="F63" s="10"/>
      <c r="G63" s="16">
        <f>6.605*1.03</f>
        <v>6.8031500000000005</v>
      </c>
      <c r="H63" s="17">
        <f>D63*G63</f>
        <v>913.27186387500012</v>
      </c>
      <c r="I63" s="100"/>
    </row>
    <row r="64" spans="1:9" ht="14.25" customHeight="1" x14ac:dyDescent="0.25">
      <c r="A64" s="99"/>
      <c r="B64" s="14" t="s">
        <v>106</v>
      </c>
      <c r="C64" s="9" t="s">
        <v>47</v>
      </c>
      <c r="D64" s="145">
        <f>D62*5</f>
        <v>4474.75</v>
      </c>
      <c r="E64" s="10"/>
      <c r="F64" s="10"/>
      <c r="G64" s="16">
        <v>7.47</v>
      </c>
      <c r="H64" s="17">
        <f>D64*G64</f>
        <v>33426.3825</v>
      </c>
      <c r="I64" s="100"/>
    </row>
    <row r="65" spans="1:9" ht="16.5" customHeight="1" x14ac:dyDescent="0.25">
      <c r="A65" s="99" t="s">
        <v>84</v>
      </c>
      <c r="B65" s="42" t="s">
        <v>81</v>
      </c>
      <c r="C65" s="37" t="s">
        <v>8</v>
      </c>
      <c r="D65" s="39">
        <v>661.41</v>
      </c>
      <c r="E65" s="39">
        <f>E26</f>
        <v>118</v>
      </c>
      <c r="F65" s="39">
        <f>D65*E65</f>
        <v>78046.37999999999</v>
      </c>
      <c r="G65" s="39">
        <f>H65/D65</f>
        <v>98.910472499999997</v>
      </c>
      <c r="H65" s="39">
        <f>SUM(H66:H69)</f>
        <v>65420.375616224999</v>
      </c>
      <c r="I65" s="100">
        <f>F65+H65</f>
        <v>143466.75561622498</v>
      </c>
    </row>
    <row r="66" spans="1:9" x14ac:dyDescent="0.25">
      <c r="A66" s="99"/>
      <c r="B66" s="26" t="s">
        <v>52</v>
      </c>
      <c r="C66" s="27" t="s">
        <v>47</v>
      </c>
      <c r="D66" s="16">
        <f>D65*0.15</f>
        <v>99.211499999999987</v>
      </c>
      <c r="E66" s="10"/>
      <c r="F66" s="10"/>
      <c r="G66" s="16">
        <f>6.605*1.03</f>
        <v>6.8031500000000005</v>
      </c>
      <c r="H66" s="17">
        <f>D66*G66</f>
        <v>674.95071622499995</v>
      </c>
      <c r="I66" s="100"/>
    </row>
    <row r="67" spans="1:9" ht="14.25" customHeight="1" x14ac:dyDescent="0.25">
      <c r="A67" s="99"/>
      <c r="B67" s="14" t="s">
        <v>87</v>
      </c>
      <c r="C67" s="9" t="s">
        <v>8</v>
      </c>
      <c r="D67" s="16">
        <f>D65*1.05</f>
        <v>694.48050000000001</v>
      </c>
      <c r="E67" s="10"/>
      <c r="F67" s="10"/>
      <c r="G67" s="16">
        <v>74.2</v>
      </c>
      <c r="H67" s="17">
        <f t="shared" ref="H67:H69" si="7">D67*G67</f>
        <v>51530.453099999999</v>
      </c>
      <c r="I67" s="100"/>
    </row>
    <row r="68" spans="1:9" x14ac:dyDescent="0.25">
      <c r="A68" s="99"/>
      <c r="B68" s="26" t="s">
        <v>53</v>
      </c>
      <c r="C68" s="27" t="s">
        <v>47</v>
      </c>
      <c r="D68" s="16">
        <f>D65*6</f>
        <v>3968.46</v>
      </c>
      <c r="E68" s="10"/>
      <c r="F68" s="10"/>
      <c r="G68" s="16">
        <v>1.98</v>
      </c>
      <c r="H68" s="17">
        <f t="shared" si="7"/>
        <v>7857.5508</v>
      </c>
      <c r="I68" s="100"/>
    </row>
    <row r="69" spans="1:9" x14ac:dyDescent="0.25">
      <c r="A69" s="99"/>
      <c r="B69" s="26" t="s">
        <v>172</v>
      </c>
      <c r="C69" s="27" t="s">
        <v>47</v>
      </c>
      <c r="D69" s="16">
        <f>D65*0.4</f>
        <v>264.56400000000002</v>
      </c>
      <c r="E69" s="10"/>
      <c r="F69" s="10"/>
      <c r="G69" s="16">
        <v>20.25</v>
      </c>
      <c r="H69" s="17">
        <f t="shared" si="7"/>
        <v>5357.4210000000003</v>
      </c>
      <c r="I69" s="100"/>
    </row>
    <row r="70" spans="1:9" ht="28.5" x14ac:dyDescent="0.25">
      <c r="A70" s="99" t="s">
        <v>85</v>
      </c>
      <c r="B70" s="42" t="s">
        <v>78</v>
      </c>
      <c r="C70" s="37" t="s">
        <v>12</v>
      </c>
      <c r="D70" s="146">
        <v>778.5</v>
      </c>
      <c r="E70" s="39">
        <v>20</v>
      </c>
      <c r="F70" s="39">
        <f>D70*E70</f>
        <v>15570</v>
      </c>
      <c r="G70" s="39">
        <f>H70/D70</f>
        <v>9.8910472500000015</v>
      </c>
      <c r="H70" s="39">
        <f>SUM(H71:H74)</f>
        <v>7700.180284125001</v>
      </c>
      <c r="I70" s="100">
        <f>F70+H70</f>
        <v>23270.180284125003</v>
      </c>
    </row>
    <row r="71" spans="1:9" x14ac:dyDescent="0.25">
      <c r="A71" s="95"/>
      <c r="B71" s="26" t="s">
        <v>52</v>
      </c>
      <c r="C71" s="27" t="s">
        <v>47</v>
      </c>
      <c r="D71" s="16">
        <f>D70*0.15*0.1</f>
        <v>11.6775</v>
      </c>
      <c r="E71" s="10"/>
      <c r="F71" s="10"/>
      <c r="G71" s="16">
        <f>6.605*1.03</f>
        <v>6.8031500000000005</v>
      </c>
      <c r="H71" s="17">
        <f>D71*G71</f>
        <v>79.443784125000008</v>
      </c>
      <c r="I71" s="100"/>
    </row>
    <row r="72" spans="1:9" ht="14.25" customHeight="1" x14ac:dyDescent="0.25">
      <c r="A72" s="95"/>
      <c r="B72" s="14" t="s">
        <v>87</v>
      </c>
      <c r="C72" s="9" t="s">
        <v>8</v>
      </c>
      <c r="D72" s="16">
        <f>D70*1.05*0.1</f>
        <v>81.742500000000007</v>
      </c>
      <c r="E72" s="10"/>
      <c r="F72" s="10"/>
      <c r="G72" s="16">
        <v>74.2</v>
      </c>
      <c r="H72" s="17">
        <f t="shared" ref="H72:H74" si="8">D72*G72</f>
        <v>6065.2935000000007</v>
      </c>
      <c r="I72" s="100"/>
    </row>
    <row r="73" spans="1:9" x14ac:dyDescent="0.25">
      <c r="A73" s="95"/>
      <c r="B73" s="26" t="s">
        <v>53</v>
      </c>
      <c r="C73" s="27" t="s">
        <v>47</v>
      </c>
      <c r="D73" s="16">
        <f>D70*6*0.1</f>
        <v>467.1</v>
      </c>
      <c r="E73" s="10"/>
      <c r="F73" s="10"/>
      <c r="G73" s="16">
        <v>1.98</v>
      </c>
      <c r="H73" s="17">
        <f t="shared" si="8"/>
        <v>924.85800000000006</v>
      </c>
      <c r="I73" s="100"/>
    </row>
    <row r="74" spans="1:9" x14ac:dyDescent="0.25">
      <c r="A74" s="95"/>
      <c r="B74" s="26" t="s">
        <v>172</v>
      </c>
      <c r="C74" s="27" t="s">
        <v>47</v>
      </c>
      <c r="D74" s="16">
        <f>D70*0.4*0.1</f>
        <v>31.140000000000004</v>
      </c>
      <c r="E74" s="10"/>
      <c r="F74" s="10"/>
      <c r="G74" s="16">
        <v>20.25</v>
      </c>
      <c r="H74" s="17">
        <f t="shared" si="8"/>
        <v>630.58500000000004</v>
      </c>
      <c r="I74" s="100"/>
    </row>
    <row r="75" spans="1:9" s="5" customFormat="1" ht="33" customHeight="1" x14ac:dyDescent="0.25">
      <c r="A75" s="103" t="s">
        <v>88</v>
      </c>
      <c r="B75" s="11" t="s">
        <v>14</v>
      </c>
      <c r="C75" s="43"/>
      <c r="D75" s="19"/>
      <c r="E75" s="13"/>
      <c r="F75" s="13"/>
      <c r="G75" s="13"/>
      <c r="H75" s="13"/>
      <c r="I75" s="100"/>
    </row>
    <row r="76" spans="1:9" x14ac:dyDescent="0.25">
      <c r="A76" s="99" t="s">
        <v>89</v>
      </c>
      <c r="B76" s="42" t="s">
        <v>99</v>
      </c>
      <c r="C76" s="37" t="s">
        <v>8</v>
      </c>
      <c r="D76" s="146">
        <v>275.04000000000002</v>
      </c>
      <c r="E76" s="34">
        <f>E11</f>
        <v>50</v>
      </c>
      <c r="F76" s="39">
        <f>D76*E76</f>
        <v>13752.000000000002</v>
      </c>
      <c r="G76" s="39">
        <f>H76/D76</f>
        <v>71.833499999999987</v>
      </c>
      <c r="H76" s="39">
        <f>SUM(H77:H78)</f>
        <v>19757.08584</v>
      </c>
      <c r="I76" s="100">
        <f>F76+H76</f>
        <v>33509.08584</v>
      </c>
    </row>
    <row r="77" spans="1:9" s="18" customFormat="1" outlineLevel="1" x14ac:dyDescent="0.25">
      <c r="A77" s="105"/>
      <c r="B77" s="6" t="s">
        <v>393</v>
      </c>
      <c r="C77" s="29" t="s">
        <v>51</v>
      </c>
      <c r="D77" s="8">
        <f>(D76*400*0.075*1.02)/1000</f>
        <v>8.4162239999999997</v>
      </c>
      <c r="E77" s="17"/>
      <c r="F77" s="17"/>
      <c r="G77" s="17">
        <v>1620</v>
      </c>
      <c r="H77" s="17">
        <f>D77*G77</f>
        <v>13634.282879999999</v>
      </c>
      <c r="I77" s="106"/>
    </row>
    <row r="78" spans="1:9" s="18" customFormat="1" outlineLevel="1" x14ac:dyDescent="0.25">
      <c r="A78" s="105"/>
      <c r="B78" s="6" t="s">
        <v>86</v>
      </c>
      <c r="C78" s="29" t="s">
        <v>51</v>
      </c>
      <c r="D78" s="8">
        <f>(D76*1940*0.075*1.02)/1000</f>
        <v>40.818686400000004</v>
      </c>
      <c r="E78" s="17"/>
      <c r="F78" s="17"/>
      <c r="G78" s="17">
        <v>150</v>
      </c>
      <c r="H78" s="17">
        <f>D78*G78</f>
        <v>6122.8029600000009</v>
      </c>
      <c r="I78" s="106"/>
    </row>
    <row r="79" spans="1:9" s="5" customFormat="1" ht="14.45" customHeight="1" x14ac:dyDescent="0.25">
      <c r="A79" s="103" t="s">
        <v>90</v>
      </c>
      <c r="B79" s="11" t="s">
        <v>28</v>
      </c>
      <c r="C79" s="43"/>
      <c r="D79" s="19"/>
      <c r="E79" s="13"/>
      <c r="F79" s="13"/>
      <c r="G79" s="13"/>
      <c r="H79" s="13"/>
      <c r="I79" s="104"/>
    </row>
    <row r="80" spans="1:9" s="36" customFormat="1" ht="28.5" customHeight="1" x14ac:dyDescent="0.25">
      <c r="A80" s="99" t="s">
        <v>91</v>
      </c>
      <c r="B80" s="42" t="s">
        <v>99</v>
      </c>
      <c r="C80" s="37" t="s">
        <v>8</v>
      </c>
      <c r="D80" s="39">
        <v>2398.2600000000002</v>
      </c>
      <c r="E80" s="34">
        <f>E11</f>
        <v>50</v>
      </c>
      <c r="F80" s="40">
        <f>D80*E80</f>
        <v>119913.00000000001</v>
      </c>
      <c r="G80" s="39">
        <f>H80/D80</f>
        <v>71.833500000000001</v>
      </c>
      <c r="H80" s="39">
        <f>SUM(H81:H82)</f>
        <v>172275.40971000001</v>
      </c>
      <c r="I80" s="100">
        <f>F80+H80</f>
        <v>292188.40971000004</v>
      </c>
    </row>
    <row r="81" spans="1:9" s="18" customFormat="1" outlineLevel="1" x14ac:dyDescent="0.25">
      <c r="A81" s="97"/>
      <c r="B81" s="6" t="s">
        <v>393</v>
      </c>
      <c r="C81" s="29" t="s">
        <v>51</v>
      </c>
      <c r="D81" s="8">
        <f>(D80*400*0.075*1.02)/1000</f>
        <v>73.386756000000005</v>
      </c>
      <c r="E81" s="17"/>
      <c r="F81" s="17"/>
      <c r="G81" s="17">
        <v>1620</v>
      </c>
      <c r="H81" s="17">
        <f>D81*G81</f>
        <v>118886.54472000001</v>
      </c>
      <c r="I81" s="98"/>
    </row>
    <row r="82" spans="1:9" s="18" customFormat="1" outlineLevel="1" x14ac:dyDescent="0.25">
      <c r="A82" s="97"/>
      <c r="B82" s="6" t="s">
        <v>86</v>
      </c>
      <c r="C82" s="29" t="s">
        <v>51</v>
      </c>
      <c r="D82" s="8">
        <f>(D80*1940*0.075*1.02)/1000</f>
        <v>355.92576660000003</v>
      </c>
      <c r="E82" s="17"/>
      <c r="F82" s="17"/>
      <c r="G82" s="17">
        <v>150</v>
      </c>
      <c r="H82" s="17">
        <f>D82*G82</f>
        <v>53388.864990000002</v>
      </c>
      <c r="I82" s="98"/>
    </row>
    <row r="83" spans="1:9" s="36" customFormat="1" ht="28.5" x14ac:dyDescent="0.25">
      <c r="A83" s="99" t="s">
        <v>92</v>
      </c>
      <c r="B83" s="42" t="s">
        <v>102</v>
      </c>
      <c r="C83" s="37" t="s">
        <v>8</v>
      </c>
      <c r="D83" s="39">
        <v>2398.2600000000002</v>
      </c>
      <c r="E83" s="39">
        <f>E26</f>
        <v>118</v>
      </c>
      <c r="F83" s="40">
        <f>D83*E83</f>
        <v>282994.68000000005</v>
      </c>
      <c r="G83" s="39">
        <f>H83/D83</f>
        <v>98.910472499999997</v>
      </c>
      <c r="H83" s="39">
        <f>SUM(H84:H87)</f>
        <v>237213.02977785002</v>
      </c>
      <c r="I83" s="100">
        <f>F83+H83</f>
        <v>520207.70977785008</v>
      </c>
    </row>
    <row r="84" spans="1:9" x14ac:dyDescent="0.25">
      <c r="A84" s="99"/>
      <c r="B84" s="26" t="s">
        <v>52</v>
      </c>
      <c r="C84" s="27" t="s">
        <v>47</v>
      </c>
      <c r="D84" s="16">
        <f>D83*0.15</f>
        <v>359.73900000000003</v>
      </c>
      <c r="E84" s="10"/>
      <c r="F84" s="10"/>
      <c r="G84" s="16">
        <f>6.605*1.03</f>
        <v>6.8031500000000005</v>
      </c>
      <c r="H84" s="17">
        <f>D84*G84</f>
        <v>2447.3583778500006</v>
      </c>
      <c r="I84" s="96"/>
    </row>
    <row r="85" spans="1:9" ht="14.25" customHeight="1" x14ac:dyDescent="0.25">
      <c r="A85" s="99"/>
      <c r="B85" s="14" t="s">
        <v>87</v>
      </c>
      <c r="C85" s="9" t="s">
        <v>8</v>
      </c>
      <c r="D85" s="16">
        <f>D83*1.05</f>
        <v>2518.1730000000002</v>
      </c>
      <c r="E85" s="10"/>
      <c r="F85" s="10"/>
      <c r="G85" s="16">
        <v>74.2</v>
      </c>
      <c r="H85" s="17">
        <f t="shared" ref="H85:H87" si="9">D85*G85</f>
        <v>186848.43660000002</v>
      </c>
      <c r="I85" s="96"/>
    </row>
    <row r="86" spans="1:9" x14ac:dyDescent="0.25">
      <c r="A86" s="99"/>
      <c r="B86" s="26" t="s">
        <v>53</v>
      </c>
      <c r="C86" s="27" t="s">
        <v>47</v>
      </c>
      <c r="D86" s="16">
        <f>D83*6</f>
        <v>14389.560000000001</v>
      </c>
      <c r="E86" s="10"/>
      <c r="F86" s="10"/>
      <c r="G86" s="16">
        <v>1.98</v>
      </c>
      <c r="H86" s="17">
        <f t="shared" si="9"/>
        <v>28491.328800000003</v>
      </c>
      <c r="I86" s="96"/>
    </row>
    <row r="87" spans="1:9" x14ac:dyDescent="0.25">
      <c r="A87" s="99"/>
      <c r="B87" s="26" t="s">
        <v>172</v>
      </c>
      <c r="C87" s="27" t="s">
        <v>47</v>
      </c>
      <c r="D87" s="16">
        <f>D83*0.4</f>
        <v>959.30400000000009</v>
      </c>
      <c r="E87" s="10"/>
      <c r="F87" s="10"/>
      <c r="G87" s="16">
        <v>20.25</v>
      </c>
      <c r="H87" s="17">
        <f t="shared" si="9"/>
        <v>19425.906000000003</v>
      </c>
      <c r="I87" s="96"/>
    </row>
    <row r="88" spans="1:9" s="36" customFormat="1" ht="28.5" x14ac:dyDescent="0.25">
      <c r="A88" s="99" t="s">
        <v>93</v>
      </c>
      <c r="B88" s="42" t="s">
        <v>100</v>
      </c>
      <c r="C88" s="37" t="s">
        <v>12</v>
      </c>
      <c r="D88" s="146">
        <v>2345.1</v>
      </c>
      <c r="E88" s="39">
        <v>20</v>
      </c>
      <c r="F88" s="40">
        <f>D88*E88</f>
        <v>46902</v>
      </c>
      <c r="G88" s="39">
        <f>H88/D88</f>
        <v>9.8910472499999997</v>
      </c>
      <c r="H88" s="39">
        <f>SUM(H89:H92)</f>
        <v>23195.494905975</v>
      </c>
      <c r="I88" s="100">
        <f>F88+H88</f>
        <v>70097.494905975007</v>
      </c>
    </row>
    <row r="89" spans="1:9" x14ac:dyDescent="0.25">
      <c r="A89" s="95"/>
      <c r="B89" s="26" t="s">
        <v>52</v>
      </c>
      <c r="C89" s="27" t="s">
        <v>47</v>
      </c>
      <c r="D89" s="16">
        <f>D88*0.15*0.1</f>
        <v>35.176499999999997</v>
      </c>
      <c r="E89" s="10"/>
      <c r="F89" s="10"/>
      <c r="G89" s="16">
        <f>6.605*1.03</f>
        <v>6.8031500000000005</v>
      </c>
      <c r="H89" s="17">
        <f>D89*G89</f>
        <v>239.311005975</v>
      </c>
      <c r="I89" s="96"/>
    </row>
    <row r="90" spans="1:9" ht="14.25" customHeight="1" x14ac:dyDescent="0.25">
      <c r="A90" s="95"/>
      <c r="B90" s="14" t="s">
        <v>87</v>
      </c>
      <c r="C90" s="9" t="s">
        <v>8</v>
      </c>
      <c r="D90" s="16">
        <f>D88*1.05*0.1</f>
        <v>246.2355</v>
      </c>
      <c r="E90" s="10"/>
      <c r="F90" s="10"/>
      <c r="G90" s="16">
        <v>74.2</v>
      </c>
      <c r="H90" s="17">
        <f t="shared" ref="H90:H92" si="10">D90*G90</f>
        <v>18270.6741</v>
      </c>
      <c r="I90" s="96"/>
    </row>
    <row r="91" spans="1:9" x14ac:dyDescent="0.25">
      <c r="A91" s="95"/>
      <c r="B91" s="26" t="s">
        <v>53</v>
      </c>
      <c r="C91" s="27" t="s">
        <v>47</v>
      </c>
      <c r="D91" s="16">
        <f>D88*6*0.1</f>
        <v>1407.06</v>
      </c>
      <c r="E91" s="10"/>
      <c r="F91" s="10"/>
      <c r="G91" s="16">
        <v>1.98</v>
      </c>
      <c r="H91" s="17">
        <f t="shared" si="10"/>
        <v>2785.9787999999999</v>
      </c>
      <c r="I91" s="96"/>
    </row>
    <row r="92" spans="1:9" x14ac:dyDescent="0.25">
      <c r="A92" s="95"/>
      <c r="B92" s="26" t="s">
        <v>172</v>
      </c>
      <c r="C92" s="27" t="s">
        <v>47</v>
      </c>
      <c r="D92" s="16">
        <f>D88*0.4*0.1</f>
        <v>93.804000000000002</v>
      </c>
      <c r="E92" s="10"/>
      <c r="F92" s="10"/>
      <c r="G92" s="16">
        <v>20.25</v>
      </c>
      <c r="H92" s="17">
        <f t="shared" si="10"/>
        <v>1899.5309999999999</v>
      </c>
      <c r="I92" s="96"/>
    </row>
    <row r="93" spans="1:9" s="5" customFormat="1" ht="14.45" customHeight="1" x14ac:dyDescent="0.25">
      <c r="A93" s="103" t="s">
        <v>94</v>
      </c>
      <c r="B93" s="11" t="s">
        <v>15</v>
      </c>
      <c r="C93" s="43"/>
      <c r="D93" s="12"/>
      <c r="E93" s="13"/>
      <c r="F93" s="13"/>
      <c r="G93" s="13"/>
      <c r="H93" s="13"/>
      <c r="I93" s="104"/>
    </row>
    <row r="94" spans="1:9" x14ac:dyDescent="0.25">
      <c r="A94" s="169" t="s">
        <v>95</v>
      </c>
      <c r="B94" s="154" t="s">
        <v>367</v>
      </c>
      <c r="C94" s="178" t="s">
        <v>8</v>
      </c>
      <c r="D94" s="146">
        <v>20.87</v>
      </c>
      <c r="E94" s="34">
        <f>E11</f>
        <v>50</v>
      </c>
      <c r="F94" s="39">
        <f>D94*E94</f>
        <v>1043.5</v>
      </c>
      <c r="G94" s="39">
        <f>H94/D94</f>
        <v>71.833499999999987</v>
      </c>
      <c r="H94" s="39">
        <f>SUM(H95:H96)</f>
        <v>1499.1651449999999</v>
      </c>
      <c r="I94" s="100">
        <f>F94+H94</f>
        <v>2542.6651449999999</v>
      </c>
    </row>
    <row r="95" spans="1:9" s="18" customFormat="1" outlineLevel="1" x14ac:dyDescent="0.25">
      <c r="A95" s="105"/>
      <c r="B95" s="6" t="s">
        <v>393</v>
      </c>
      <c r="C95" s="29" t="s">
        <v>51</v>
      </c>
      <c r="D95" s="8">
        <f>(D94*400*0.075*1.02)/1000</f>
        <v>0.63862200000000002</v>
      </c>
      <c r="E95" s="17"/>
      <c r="F95" s="17"/>
      <c r="G95" s="17">
        <v>1620</v>
      </c>
      <c r="H95" s="17">
        <f>D95*G95</f>
        <v>1034.56764</v>
      </c>
      <c r="I95" s="98"/>
    </row>
    <row r="96" spans="1:9" s="18" customFormat="1" outlineLevel="1" x14ac:dyDescent="0.25">
      <c r="A96" s="105"/>
      <c r="B96" s="6" t="s">
        <v>86</v>
      </c>
      <c r="C96" s="29" t="s">
        <v>51</v>
      </c>
      <c r="D96" s="8">
        <f>(D94*1940*0.075*1.02)/1000</f>
        <v>3.0973167000000004</v>
      </c>
      <c r="E96" s="17"/>
      <c r="F96" s="17"/>
      <c r="G96" s="17">
        <v>150</v>
      </c>
      <c r="H96" s="17">
        <f t="shared" ref="H96:H97" si="11">D96*G96</f>
        <v>464.59750500000007</v>
      </c>
      <c r="I96" s="98"/>
    </row>
    <row r="97" spans="1:9" ht="15" customHeight="1" x14ac:dyDescent="0.25">
      <c r="A97" s="99"/>
      <c r="B97" s="170" t="s">
        <v>352</v>
      </c>
      <c r="C97" s="171" t="s">
        <v>8</v>
      </c>
      <c r="D97" s="172">
        <f>D94*1.1</f>
        <v>22.957000000000004</v>
      </c>
      <c r="E97" s="172"/>
      <c r="F97" s="172"/>
      <c r="G97" s="152">
        <v>13.06</v>
      </c>
      <c r="H97" s="17">
        <f t="shared" si="11"/>
        <v>299.81842000000006</v>
      </c>
      <c r="I97" s="173"/>
    </row>
    <row r="98" spans="1:9" x14ac:dyDescent="0.25">
      <c r="A98" s="169" t="s">
        <v>96</v>
      </c>
      <c r="B98" s="154" t="s">
        <v>368</v>
      </c>
      <c r="C98" s="178" t="s">
        <v>8</v>
      </c>
      <c r="D98" s="146">
        <v>89.92</v>
      </c>
      <c r="E98" s="34">
        <f>E11</f>
        <v>50</v>
      </c>
      <c r="F98" s="39">
        <f>D98*E98</f>
        <v>4496</v>
      </c>
      <c r="G98" s="39">
        <f>H98/D98</f>
        <v>57.466799999999999</v>
      </c>
      <c r="H98" s="39">
        <f>SUM(H99:H100)</f>
        <v>5167.4146559999999</v>
      </c>
      <c r="I98" s="100">
        <f>F98+H98</f>
        <v>9663.4146560000008</v>
      </c>
    </row>
    <row r="99" spans="1:9" s="18" customFormat="1" outlineLevel="1" x14ac:dyDescent="0.25">
      <c r="A99" s="105"/>
      <c r="B99" s="6" t="s">
        <v>393</v>
      </c>
      <c r="C99" s="29" t="s">
        <v>51</v>
      </c>
      <c r="D99" s="8">
        <f>(D98*400*0.06*1.02)/1000</f>
        <v>2.2012415999999999</v>
      </c>
      <c r="E99" s="17"/>
      <c r="F99" s="17"/>
      <c r="G99" s="17">
        <v>1620</v>
      </c>
      <c r="H99" s="17">
        <f>D99*G99</f>
        <v>3566.0113919999999</v>
      </c>
      <c r="I99" s="98"/>
    </row>
    <row r="100" spans="1:9" s="18" customFormat="1" outlineLevel="1" x14ac:dyDescent="0.25">
      <c r="A100" s="105"/>
      <c r="B100" s="6" t="s">
        <v>86</v>
      </c>
      <c r="C100" s="29" t="s">
        <v>51</v>
      </c>
      <c r="D100" s="8">
        <f>(D98*1940*0.06*1.02)/1000</f>
        <v>10.676021759999999</v>
      </c>
      <c r="E100" s="17"/>
      <c r="F100" s="17"/>
      <c r="G100" s="17">
        <v>150</v>
      </c>
      <c r="H100" s="17">
        <f t="shared" ref="H100:H101" si="12">D100*G100</f>
        <v>1601.4032639999998</v>
      </c>
      <c r="I100" s="98"/>
    </row>
    <row r="101" spans="1:9" ht="15" customHeight="1" x14ac:dyDescent="0.25">
      <c r="A101" s="99"/>
      <c r="B101" s="170" t="s">
        <v>352</v>
      </c>
      <c r="C101" s="171" t="s">
        <v>8</v>
      </c>
      <c r="D101" s="172">
        <f>D98*1.1</f>
        <v>98.912000000000006</v>
      </c>
      <c r="E101" s="172"/>
      <c r="F101" s="172"/>
      <c r="G101" s="152">
        <v>13.06</v>
      </c>
      <c r="H101" s="17">
        <f t="shared" si="12"/>
        <v>1291.7907200000002</v>
      </c>
      <c r="I101" s="173"/>
    </row>
    <row r="102" spans="1:9" x14ac:dyDescent="0.25">
      <c r="A102" s="169" t="s">
        <v>97</v>
      </c>
      <c r="B102" s="154" t="s">
        <v>369</v>
      </c>
      <c r="C102" s="178" t="s">
        <v>8</v>
      </c>
      <c r="D102" s="146">
        <v>2.76</v>
      </c>
      <c r="E102" s="34">
        <f>E11</f>
        <v>50</v>
      </c>
      <c r="F102" s="39">
        <f>D102*E102</f>
        <v>138</v>
      </c>
      <c r="G102" s="39">
        <f>H102/D102</f>
        <v>124.51139999999999</v>
      </c>
      <c r="H102" s="39">
        <f>SUM(H103:H104)</f>
        <v>343.65146399999998</v>
      </c>
      <c r="I102" s="100">
        <f>F102+H102</f>
        <v>481.65146399999998</v>
      </c>
    </row>
    <row r="103" spans="1:9" s="18" customFormat="1" outlineLevel="1" x14ac:dyDescent="0.25">
      <c r="A103" s="105"/>
      <c r="B103" s="6" t="s">
        <v>393</v>
      </c>
      <c r="C103" s="29" t="s">
        <v>51</v>
      </c>
      <c r="D103" s="8">
        <f>(D102*400*0.13*1.02)/1000</f>
        <v>0.1463904</v>
      </c>
      <c r="E103" s="17"/>
      <c r="F103" s="17"/>
      <c r="G103" s="17">
        <v>1620</v>
      </c>
      <c r="H103" s="17">
        <f>D103*G103</f>
        <v>237.15244799999999</v>
      </c>
      <c r="I103" s="98"/>
    </row>
    <row r="104" spans="1:9" s="18" customFormat="1" outlineLevel="1" x14ac:dyDescent="0.25">
      <c r="A104" s="105"/>
      <c r="B104" s="6" t="s">
        <v>86</v>
      </c>
      <c r="C104" s="29" t="s">
        <v>51</v>
      </c>
      <c r="D104" s="8">
        <f>(D102*1940*0.13*1.02)/1000</f>
        <v>0.70999343999999998</v>
      </c>
      <c r="E104" s="17"/>
      <c r="F104" s="17"/>
      <c r="G104" s="17">
        <v>150</v>
      </c>
      <c r="H104" s="17">
        <f t="shared" ref="H104:H105" si="13">D104*G104</f>
        <v>106.499016</v>
      </c>
      <c r="I104" s="98"/>
    </row>
    <row r="105" spans="1:9" ht="15" customHeight="1" x14ac:dyDescent="0.25">
      <c r="A105" s="99"/>
      <c r="B105" s="170" t="s">
        <v>352</v>
      </c>
      <c r="C105" s="171" t="s">
        <v>8</v>
      </c>
      <c r="D105" s="172">
        <f>D102*1.1</f>
        <v>3.036</v>
      </c>
      <c r="E105" s="172"/>
      <c r="F105" s="172"/>
      <c r="G105" s="152">
        <v>13.06</v>
      </c>
      <c r="H105" s="17">
        <f t="shared" si="13"/>
        <v>39.65016</v>
      </c>
      <c r="I105" s="173"/>
    </row>
    <row r="106" spans="1:9" s="44" customFormat="1" x14ac:dyDescent="0.25">
      <c r="A106" s="169" t="s">
        <v>370</v>
      </c>
      <c r="B106" s="154" t="s">
        <v>371</v>
      </c>
      <c r="C106" s="178" t="s">
        <v>8</v>
      </c>
      <c r="D106" s="146">
        <v>5.74</v>
      </c>
      <c r="E106" s="39">
        <v>25</v>
      </c>
      <c r="F106" s="39">
        <f>D106*E106</f>
        <v>143.5</v>
      </c>
      <c r="G106" s="39">
        <f>H106/D106</f>
        <v>46</v>
      </c>
      <c r="H106" s="39">
        <f>SUM(H107)</f>
        <v>264.04000000000002</v>
      </c>
      <c r="I106" s="100">
        <f>F106+H106</f>
        <v>407.54</v>
      </c>
    </row>
    <row r="107" spans="1:9" s="18" customFormat="1" x14ac:dyDescent="0.25">
      <c r="A107" s="107"/>
      <c r="B107" s="28" t="s">
        <v>86</v>
      </c>
      <c r="C107" s="29" t="s">
        <v>51</v>
      </c>
      <c r="D107" s="30">
        <f>D106*0.46/1.5</f>
        <v>1.7602666666666666</v>
      </c>
      <c r="E107" s="46"/>
      <c r="F107" s="46"/>
      <c r="G107" s="17">
        <v>150</v>
      </c>
      <c r="H107" s="31">
        <f>D107*G107</f>
        <v>264.04000000000002</v>
      </c>
      <c r="I107" s="108"/>
    </row>
    <row r="108" spans="1:9" s="44" customFormat="1" x14ac:dyDescent="0.25">
      <c r="A108" s="169" t="s">
        <v>372</v>
      </c>
      <c r="B108" s="154" t="s">
        <v>373</v>
      </c>
      <c r="C108" s="178" t="s">
        <v>8</v>
      </c>
      <c r="D108" s="146">
        <v>84.18</v>
      </c>
      <c r="E108" s="39">
        <v>25</v>
      </c>
      <c r="F108" s="39">
        <f>D108*E108</f>
        <v>2104.5</v>
      </c>
      <c r="G108" s="39">
        <f>H108/D108</f>
        <v>0.68187217866476602</v>
      </c>
      <c r="H108" s="39">
        <f>SUM(H109)</f>
        <v>57.400000000000006</v>
      </c>
      <c r="I108" s="100">
        <f>F108+H108</f>
        <v>2161.9</v>
      </c>
    </row>
    <row r="109" spans="1:9" s="18" customFormat="1" x14ac:dyDescent="0.25">
      <c r="A109" s="107"/>
      <c r="B109" s="28" t="s">
        <v>86</v>
      </c>
      <c r="C109" s="29" t="s">
        <v>51</v>
      </c>
      <c r="D109" s="30">
        <f>D106*0.1/1.5</f>
        <v>0.38266666666666671</v>
      </c>
      <c r="E109" s="46"/>
      <c r="F109" s="46"/>
      <c r="G109" s="17">
        <v>150</v>
      </c>
      <c r="H109" s="31">
        <f>D109*G109</f>
        <v>57.400000000000006</v>
      </c>
      <c r="I109" s="108"/>
    </row>
    <row r="110" spans="1:9" x14ac:dyDescent="0.25">
      <c r="A110" s="169" t="s">
        <v>374</v>
      </c>
      <c r="B110" s="154" t="s">
        <v>275</v>
      </c>
      <c r="C110" s="178" t="s">
        <v>8</v>
      </c>
      <c r="D110" s="146">
        <v>20.87</v>
      </c>
      <c r="E110" s="39">
        <v>15</v>
      </c>
      <c r="F110" s="39">
        <f>D110*E110</f>
        <v>313.05</v>
      </c>
      <c r="G110" s="39">
        <f>H110/D110</f>
        <v>110.25000000000001</v>
      </c>
      <c r="H110" s="39">
        <f>SUM(H111)</f>
        <v>2300.9175000000005</v>
      </c>
      <c r="I110" s="100">
        <f>F110+H110</f>
        <v>2613.9675000000007</v>
      </c>
    </row>
    <row r="111" spans="1:9" x14ac:dyDescent="0.25">
      <c r="A111" s="138"/>
      <c r="B111" s="88" t="s">
        <v>276</v>
      </c>
      <c r="C111" s="20" t="s">
        <v>111</v>
      </c>
      <c r="D111" s="67">
        <f>D110*0.05*1.05</f>
        <v>1.0956750000000002</v>
      </c>
      <c r="E111" s="67"/>
      <c r="F111" s="67"/>
      <c r="G111" s="67">
        <v>2100</v>
      </c>
      <c r="H111" s="31">
        <f>D111*G111</f>
        <v>2300.9175000000005</v>
      </c>
      <c r="I111" s="139"/>
    </row>
    <row r="112" spans="1:9" s="36" customFormat="1" ht="28.5" x14ac:dyDescent="0.25">
      <c r="A112" s="169" t="s">
        <v>375</v>
      </c>
      <c r="B112" s="154" t="s">
        <v>104</v>
      </c>
      <c r="C112" s="178" t="s">
        <v>8</v>
      </c>
      <c r="D112" s="146">
        <v>35.36</v>
      </c>
      <c r="E112" s="39">
        <v>25</v>
      </c>
      <c r="F112" s="39">
        <f>D112*E112</f>
        <v>884</v>
      </c>
      <c r="G112" s="39">
        <f>H112/D112</f>
        <v>38.370472500000005</v>
      </c>
      <c r="H112" s="39">
        <f>SUM(H113:H114)</f>
        <v>1356.7799076000001</v>
      </c>
      <c r="I112" s="100">
        <f>F112+H112</f>
        <v>2240.7799076000001</v>
      </c>
    </row>
    <row r="113" spans="1:9" x14ac:dyDescent="0.25">
      <c r="A113" s="99"/>
      <c r="B113" s="26" t="s">
        <v>52</v>
      </c>
      <c r="C113" s="27" t="s">
        <v>47</v>
      </c>
      <c r="D113" s="16">
        <f>D112*0.15</f>
        <v>5.3039999999999994</v>
      </c>
      <c r="E113" s="10"/>
      <c r="F113" s="16"/>
      <c r="G113" s="16">
        <f>6.605*1.03</f>
        <v>6.8031500000000005</v>
      </c>
      <c r="H113" s="17">
        <f>D113*G113</f>
        <v>36.083907599999996</v>
      </c>
      <c r="I113" s="96"/>
    </row>
    <row r="114" spans="1:9" ht="14.25" customHeight="1" x14ac:dyDescent="0.25">
      <c r="A114" s="95"/>
      <c r="B114" s="14" t="s">
        <v>59</v>
      </c>
      <c r="C114" s="9" t="s">
        <v>47</v>
      </c>
      <c r="D114" s="172">
        <f>D112*5</f>
        <v>176.8</v>
      </c>
      <c r="E114" s="10"/>
      <c r="F114" s="16"/>
      <c r="G114" s="16">
        <v>7.47</v>
      </c>
      <c r="H114" s="17">
        <f>D114*G114</f>
        <v>1320.6960000000001</v>
      </c>
      <c r="I114" s="96"/>
    </row>
    <row r="115" spans="1:9" ht="28.5" x14ac:dyDescent="0.25">
      <c r="A115" s="99" t="s">
        <v>376</v>
      </c>
      <c r="B115" s="42" t="s">
        <v>103</v>
      </c>
      <c r="C115" s="37" t="s">
        <v>8</v>
      </c>
      <c r="D115" s="39">
        <v>141.01</v>
      </c>
      <c r="E115" s="39">
        <f>E26</f>
        <v>118</v>
      </c>
      <c r="F115" s="40">
        <f>D115*E115</f>
        <v>16639.18</v>
      </c>
      <c r="G115" s="39">
        <f>H115/D115</f>
        <v>98.910472500000012</v>
      </c>
      <c r="H115" s="39">
        <f>SUM(H116:H119)</f>
        <v>13947.365727225</v>
      </c>
      <c r="I115" s="100">
        <f>F115+H115</f>
        <v>30586.545727224999</v>
      </c>
    </row>
    <row r="116" spans="1:9" x14ac:dyDescent="0.25">
      <c r="A116" s="99"/>
      <c r="B116" s="26" t="s">
        <v>52</v>
      </c>
      <c r="C116" s="27" t="s">
        <v>47</v>
      </c>
      <c r="D116" s="16">
        <f>D115*0.15</f>
        <v>21.151499999999999</v>
      </c>
      <c r="E116" s="16"/>
      <c r="F116" s="10"/>
      <c r="G116" s="16">
        <f>6.605*1.03</f>
        <v>6.8031500000000005</v>
      </c>
      <c r="H116" s="17">
        <f>D116*G116</f>
        <v>143.89682722500001</v>
      </c>
      <c r="I116" s="96"/>
    </row>
    <row r="117" spans="1:9" ht="14.25" customHeight="1" x14ac:dyDescent="0.25">
      <c r="A117" s="99"/>
      <c r="B117" s="14" t="s">
        <v>87</v>
      </c>
      <c r="C117" s="9" t="s">
        <v>8</v>
      </c>
      <c r="D117" s="16">
        <f>D115*1.05</f>
        <v>148.06049999999999</v>
      </c>
      <c r="E117" s="16"/>
      <c r="F117" s="10"/>
      <c r="G117" s="16">
        <v>74.2</v>
      </c>
      <c r="H117" s="17">
        <f t="shared" ref="H117:H119" si="14">D117*G117</f>
        <v>10986.089099999999</v>
      </c>
      <c r="I117" s="96"/>
    </row>
    <row r="118" spans="1:9" x14ac:dyDescent="0.25">
      <c r="A118" s="99"/>
      <c r="B118" s="26" t="s">
        <v>53</v>
      </c>
      <c r="C118" s="27" t="s">
        <v>47</v>
      </c>
      <c r="D118" s="16">
        <f>D115*6</f>
        <v>846.06</v>
      </c>
      <c r="E118" s="16"/>
      <c r="F118" s="10"/>
      <c r="G118" s="16">
        <v>1.98</v>
      </c>
      <c r="H118" s="17">
        <f t="shared" si="14"/>
        <v>1675.1987999999999</v>
      </c>
      <c r="I118" s="96"/>
    </row>
    <row r="119" spans="1:9" x14ac:dyDescent="0.25">
      <c r="A119" s="99"/>
      <c r="B119" s="26" t="s">
        <v>172</v>
      </c>
      <c r="C119" s="27" t="s">
        <v>47</v>
      </c>
      <c r="D119" s="16">
        <f>D115*0.4</f>
        <v>56.403999999999996</v>
      </c>
      <c r="E119" s="16"/>
      <c r="F119" s="10"/>
      <c r="G119" s="16">
        <v>20.25</v>
      </c>
      <c r="H119" s="17">
        <f t="shared" si="14"/>
        <v>1142.181</v>
      </c>
      <c r="I119" s="96"/>
    </row>
    <row r="120" spans="1:9" ht="28.5" x14ac:dyDescent="0.25">
      <c r="A120" s="99" t="s">
        <v>377</v>
      </c>
      <c r="B120" s="42" t="s">
        <v>101</v>
      </c>
      <c r="C120" s="37" t="s">
        <v>12</v>
      </c>
      <c r="D120" s="146">
        <v>192.6</v>
      </c>
      <c r="E120" s="39">
        <v>20</v>
      </c>
      <c r="F120" s="40">
        <f>D120*E120</f>
        <v>3852</v>
      </c>
      <c r="G120" s="39">
        <f>H120/D120</f>
        <v>9.8910472500000015</v>
      </c>
      <c r="H120" s="39">
        <f>SUM(H121:H124)</f>
        <v>1905.0157003500001</v>
      </c>
      <c r="I120" s="100">
        <f>F120+H120</f>
        <v>5757.0157003499999</v>
      </c>
    </row>
    <row r="121" spans="1:9" x14ac:dyDescent="0.25">
      <c r="A121" s="95"/>
      <c r="B121" s="26" t="s">
        <v>52</v>
      </c>
      <c r="C121" s="27" t="s">
        <v>47</v>
      </c>
      <c r="D121" s="16">
        <f>D120*0.15*0.1</f>
        <v>2.8889999999999998</v>
      </c>
      <c r="E121" s="16"/>
      <c r="F121" s="10"/>
      <c r="G121" s="16">
        <f>6.605*1.03</f>
        <v>6.8031500000000005</v>
      </c>
      <c r="H121" s="17">
        <f>D121*G121</f>
        <v>19.65430035</v>
      </c>
      <c r="I121" s="96"/>
    </row>
    <row r="122" spans="1:9" ht="14.25" customHeight="1" x14ac:dyDescent="0.25">
      <c r="A122" s="95"/>
      <c r="B122" s="14" t="s">
        <v>87</v>
      </c>
      <c r="C122" s="9" t="s">
        <v>8</v>
      </c>
      <c r="D122" s="16">
        <f>D120*1.05*0.1</f>
        <v>20.222999999999999</v>
      </c>
      <c r="E122" s="16"/>
      <c r="F122" s="10"/>
      <c r="G122" s="16">
        <v>74.2</v>
      </c>
      <c r="H122" s="17">
        <f t="shared" ref="H122:H124" si="15">D122*G122</f>
        <v>1500.5465999999999</v>
      </c>
      <c r="I122" s="96"/>
    </row>
    <row r="123" spans="1:9" x14ac:dyDescent="0.25">
      <c r="A123" s="95"/>
      <c r="B123" s="26" t="s">
        <v>53</v>
      </c>
      <c r="C123" s="27" t="s">
        <v>47</v>
      </c>
      <c r="D123" s="16">
        <f>D120*6*0.1</f>
        <v>115.56</v>
      </c>
      <c r="E123" s="16"/>
      <c r="F123" s="10"/>
      <c r="G123" s="16">
        <v>1.98</v>
      </c>
      <c r="H123" s="17">
        <f t="shared" si="15"/>
        <v>228.80879999999999</v>
      </c>
      <c r="I123" s="96"/>
    </row>
    <row r="124" spans="1:9" x14ac:dyDescent="0.25">
      <c r="A124" s="95"/>
      <c r="B124" s="26" t="s">
        <v>172</v>
      </c>
      <c r="C124" s="27" t="s">
        <v>47</v>
      </c>
      <c r="D124" s="16">
        <f>D120*0.4*0.1</f>
        <v>7.7040000000000006</v>
      </c>
      <c r="E124" s="16"/>
      <c r="F124" s="10"/>
      <c r="G124" s="16">
        <v>20.25</v>
      </c>
      <c r="H124" s="17">
        <f t="shared" si="15"/>
        <v>156.006</v>
      </c>
      <c r="I124" s="96"/>
    </row>
    <row r="125" spans="1:9" s="5" customFormat="1" ht="14.45" customHeight="1" x14ac:dyDescent="0.25">
      <c r="A125" s="103" t="s">
        <v>112</v>
      </c>
      <c r="B125" s="11" t="s">
        <v>270</v>
      </c>
      <c r="C125" s="43"/>
      <c r="D125" s="12"/>
      <c r="E125" s="19"/>
      <c r="F125" s="13"/>
      <c r="G125" s="13"/>
      <c r="H125" s="13"/>
      <c r="I125" s="104"/>
    </row>
    <row r="126" spans="1:9" s="44" customFormat="1" x14ac:dyDescent="0.25">
      <c r="A126" s="169" t="s">
        <v>113</v>
      </c>
      <c r="B126" s="154" t="s">
        <v>373</v>
      </c>
      <c r="C126" s="37" t="s">
        <v>8</v>
      </c>
      <c r="D126" s="39">
        <v>140.35</v>
      </c>
      <c r="E126" s="39">
        <v>25</v>
      </c>
      <c r="F126" s="39">
        <f>D126*E126</f>
        <v>3508.75</v>
      </c>
      <c r="G126" s="39">
        <f>H126/D126</f>
        <v>10</v>
      </c>
      <c r="H126" s="39">
        <f>SUM(H127)</f>
        <v>1403.5</v>
      </c>
      <c r="I126" s="100">
        <f>F126+H126</f>
        <v>4912.25</v>
      </c>
    </row>
    <row r="127" spans="1:9" s="18" customFormat="1" x14ac:dyDescent="0.25">
      <c r="A127" s="107"/>
      <c r="B127" s="28" t="s">
        <v>86</v>
      </c>
      <c r="C127" s="29" t="s">
        <v>51</v>
      </c>
      <c r="D127" s="30">
        <f>D126*0.1/1.5</f>
        <v>9.3566666666666674</v>
      </c>
      <c r="E127" s="46"/>
      <c r="F127" s="46"/>
      <c r="G127" s="17">
        <v>150</v>
      </c>
      <c r="H127" s="31">
        <f>D127*G127</f>
        <v>1403.5</v>
      </c>
      <c r="I127" s="108"/>
    </row>
    <row r="128" spans="1:9" s="36" customFormat="1" ht="28.5" x14ac:dyDescent="0.25">
      <c r="A128" s="99" t="s">
        <v>114</v>
      </c>
      <c r="B128" s="42" t="s">
        <v>104</v>
      </c>
      <c r="C128" s="37" t="s">
        <v>8</v>
      </c>
      <c r="D128" s="39">
        <v>140.35</v>
      </c>
      <c r="E128" s="39">
        <v>25</v>
      </c>
      <c r="F128" s="39">
        <f>D128*E128</f>
        <v>3508.75</v>
      </c>
      <c r="G128" s="39">
        <f>H128/D128</f>
        <v>38.370472500000005</v>
      </c>
      <c r="H128" s="39">
        <f>SUM(H129:H130)</f>
        <v>5385.2958153750005</v>
      </c>
      <c r="I128" s="100">
        <f>F128+H128</f>
        <v>8894.0458153750005</v>
      </c>
    </row>
    <row r="129" spans="1:9" x14ac:dyDescent="0.25">
      <c r="A129" s="99"/>
      <c r="B129" s="26" t="s">
        <v>52</v>
      </c>
      <c r="C129" s="27" t="s">
        <v>47</v>
      </c>
      <c r="D129" s="16">
        <f>D128*0.15</f>
        <v>21.052499999999998</v>
      </c>
      <c r="E129" s="10"/>
      <c r="F129" s="16"/>
      <c r="G129" s="16">
        <f>6.605*1.03</f>
        <v>6.8031500000000005</v>
      </c>
      <c r="H129" s="17">
        <f>D129*G129</f>
        <v>143.223315375</v>
      </c>
      <c r="I129" s="96"/>
    </row>
    <row r="130" spans="1:9" ht="14.25" customHeight="1" x14ac:dyDescent="0.25">
      <c r="A130" s="95"/>
      <c r="B130" s="14" t="s">
        <v>59</v>
      </c>
      <c r="C130" s="9" t="s">
        <v>47</v>
      </c>
      <c r="D130" s="145">
        <f>D128*5</f>
        <v>701.75</v>
      </c>
      <c r="E130" s="10"/>
      <c r="F130" s="16"/>
      <c r="G130" s="16">
        <v>7.47</v>
      </c>
      <c r="H130" s="17">
        <f>D130*G130</f>
        <v>5242.0725000000002</v>
      </c>
      <c r="I130" s="96"/>
    </row>
    <row r="131" spans="1:9" s="36" customFormat="1" ht="28.5" x14ac:dyDescent="0.25">
      <c r="A131" s="99" t="s">
        <v>115</v>
      </c>
      <c r="B131" s="42" t="s">
        <v>350</v>
      </c>
      <c r="C131" s="37" t="s">
        <v>8</v>
      </c>
      <c r="D131" s="39">
        <v>105.92</v>
      </c>
      <c r="E131" s="34">
        <f>E11</f>
        <v>50</v>
      </c>
      <c r="F131" s="39">
        <f>D131*E131</f>
        <v>5296</v>
      </c>
      <c r="G131" s="39">
        <f>H131/D131</f>
        <v>71.832800000000006</v>
      </c>
      <c r="H131" s="39">
        <f>SUM(H132:H134)</f>
        <v>7608.5301760000002</v>
      </c>
      <c r="I131" s="100">
        <f>F131+H131</f>
        <v>12904.530176</v>
      </c>
    </row>
    <row r="132" spans="1:9" s="18" customFormat="1" outlineLevel="1" x14ac:dyDescent="0.25">
      <c r="A132" s="105"/>
      <c r="B132" s="6" t="s">
        <v>393</v>
      </c>
      <c r="C132" s="29" t="s">
        <v>51</v>
      </c>
      <c r="D132" s="8">
        <f>(D131*400*0.06*1.02)/1000</f>
        <v>2.5929215999999999</v>
      </c>
      <c r="E132" s="17"/>
      <c r="F132" s="17"/>
      <c r="G132" s="17">
        <v>1620</v>
      </c>
      <c r="H132" s="17">
        <f>D132*G132</f>
        <v>4200.5329919999995</v>
      </c>
      <c r="I132" s="106"/>
    </row>
    <row r="133" spans="1:9" s="18" customFormat="1" outlineLevel="1" x14ac:dyDescent="0.25">
      <c r="A133" s="107"/>
      <c r="B133" s="28" t="s">
        <v>86</v>
      </c>
      <c r="C133" s="29" t="s">
        <v>51</v>
      </c>
      <c r="D133" s="30">
        <f>(D131*1940*0.06*1.02)/1000</f>
        <v>12.57566976</v>
      </c>
      <c r="E133" s="31"/>
      <c r="F133" s="31"/>
      <c r="G133" s="17">
        <v>150</v>
      </c>
      <c r="H133" s="17">
        <f>D133*G133</f>
        <v>1886.3504640000001</v>
      </c>
      <c r="I133" s="108"/>
    </row>
    <row r="134" spans="1:9" ht="15" customHeight="1" x14ac:dyDescent="0.25">
      <c r="A134" s="99"/>
      <c r="B134" s="148" t="s">
        <v>352</v>
      </c>
      <c r="C134" s="149" t="s">
        <v>8</v>
      </c>
      <c r="D134" s="145">
        <f>D131*1.1</f>
        <v>116.51200000000001</v>
      </c>
      <c r="E134" s="145"/>
      <c r="F134" s="145"/>
      <c r="G134" s="152">
        <v>13.06</v>
      </c>
      <c r="H134" s="150">
        <f>D134*G134</f>
        <v>1521.6467200000002</v>
      </c>
      <c r="I134" s="151"/>
    </row>
    <row r="135" spans="1:9" s="36" customFormat="1" ht="28.5" x14ac:dyDescent="0.25">
      <c r="A135" s="99" t="s">
        <v>116</v>
      </c>
      <c r="B135" s="42" t="s">
        <v>105</v>
      </c>
      <c r="C135" s="37" t="s">
        <v>8</v>
      </c>
      <c r="D135" s="39">
        <v>113.84</v>
      </c>
      <c r="E135" s="39">
        <f>E26</f>
        <v>118</v>
      </c>
      <c r="F135" s="39">
        <f>D135*E135</f>
        <v>13433.12</v>
      </c>
      <c r="G135" s="39">
        <f>H135/D135</f>
        <v>98.910472499999997</v>
      </c>
      <c r="H135" s="39">
        <f>SUM(H136:H139)</f>
        <v>11259.9681894</v>
      </c>
      <c r="I135" s="100">
        <f>F135+H135</f>
        <v>24693.088189400001</v>
      </c>
    </row>
    <row r="136" spans="1:9" x14ac:dyDescent="0.25">
      <c r="A136" s="99"/>
      <c r="B136" s="26" t="s">
        <v>52</v>
      </c>
      <c r="C136" s="27" t="s">
        <v>47</v>
      </c>
      <c r="D136" s="16">
        <f>D135*0.15</f>
        <v>17.076000000000001</v>
      </c>
      <c r="E136" s="16"/>
      <c r="F136" s="16"/>
      <c r="G136" s="16">
        <f>6.605*1.03</f>
        <v>6.8031500000000005</v>
      </c>
      <c r="H136" s="17">
        <f>D136*G136</f>
        <v>116.17058940000001</v>
      </c>
      <c r="I136" s="96"/>
    </row>
    <row r="137" spans="1:9" ht="14.25" customHeight="1" x14ac:dyDescent="0.25">
      <c r="A137" s="99"/>
      <c r="B137" s="14" t="s">
        <v>87</v>
      </c>
      <c r="C137" s="9" t="s">
        <v>8</v>
      </c>
      <c r="D137" s="16">
        <f>D135*1.05</f>
        <v>119.53200000000001</v>
      </c>
      <c r="E137" s="16"/>
      <c r="F137" s="16"/>
      <c r="G137" s="16">
        <v>74.2</v>
      </c>
      <c r="H137" s="17">
        <f t="shared" ref="H137:H139" si="16">D137*G137</f>
        <v>8869.2744000000002</v>
      </c>
      <c r="I137" s="96"/>
    </row>
    <row r="138" spans="1:9" x14ac:dyDescent="0.25">
      <c r="A138" s="99"/>
      <c r="B138" s="26" t="s">
        <v>53</v>
      </c>
      <c r="C138" s="27" t="s">
        <v>47</v>
      </c>
      <c r="D138" s="16">
        <f>D135*6</f>
        <v>683.04</v>
      </c>
      <c r="E138" s="16"/>
      <c r="F138" s="16"/>
      <c r="G138" s="16">
        <v>1.98</v>
      </c>
      <c r="H138" s="17">
        <f t="shared" si="16"/>
        <v>1352.4191999999998</v>
      </c>
      <c r="I138" s="96"/>
    </row>
    <row r="139" spans="1:9" x14ac:dyDescent="0.25">
      <c r="A139" s="99"/>
      <c r="B139" s="26" t="s">
        <v>172</v>
      </c>
      <c r="C139" s="27" t="s">
        <v>47</v>
      </c>
      <c r="D139" s="16">
        <f>D135*0.4</f>
        <v>45.536000000000001</v>
      </c>
      <c r="E139" s="16"/>
      <c r="F139" s="16"/>
      <c r="G139" s="16">
        <v>20.25</v>
      </c>
      <c r="H139" s="17">
        <f t="shared" si="16"/>
        <v>922.10400000000004</v>
      </c>
      <c r="I139" s="96"/>
    </row>
    <row r="140" spans="1:9" s="36" customFormat="1" ht="28.5" x14ac:dyDescent="0.25">
      <c r="A140" s="99" t="s">
        <v>380</v>
      </c>
      <c r="B140" s="42" t="s">
        <v>78</v>
      </c>
      <c r="C140" s="37" t="s">
        <v>12</v>
      </c>
      <c r="D140" s="146">
        <v>128</v>
      </c>
      <c r="E140" s="39">
        <v>20</v>
      </c>
      <c r="F140" s="39">
        <f>D140*E140</f>
        <v>2560</v>
      </c>
      <c r="G140" s="39">
        <f>H140/D140</f>
        <v>9.8910472500000015</v>
      </c>
      <c r="H140" s="39">
        <f>SUM(H141:H144)</f>
        <v>1266.0540480000002</v>
      </c>
      <c r="I140" s="100">
        <f>F140+H140</f>
        <v>3826.054048</v>
      </c>
    </row>
    <row r="141" spans="1:9" x14ac:dyDescent="0.25">
      <c r="A141" s="95"/>
      <c r="B141" s="26" t="s">
        <v>52</v>
      </c>
      <c r="C141" s="27" t="s">
        <v>47</v>
      </c>
      <c r="D141" s="16">
        <f>D140*0.15*0.1</f>
        <v>1.92</v>
      </c>
      <c r="E141" s="10"/>
      <c r="F141" s="10"/>
      <c r="G141" s="16">
        <f>6.605*1.03</f>
        <v>6.8031500000000005</v>
      </c>
      <c r="H141" s="17">
        <f>D141*G141</f>
        <v>13.062048000000001</v>
      </c>
      <c r="I141" s="96"/>
    </row>
    <row r="142" spans="1:9" ht="14.25" customHeight="1" x14ac:dyDescent="0.25">
      <c r="A142" s="95"/>
      <c r="B142" s="14" t="s">
        <v>87</v>
      </c>
      <c r="C142" s="9" t="s">
        <v>8</v>
      </c>
      <c r="D142" s="16">
        <f>D140*1.05*0.1</f>
        <v>13.440000000000001</v>
      </c>
      <c r="E142" s="10"/>
      <c r="F142" s="10"/>
      <c r="G142" s="16">
        <v>74.2</v>
      </c>
      <c r="H142" s="17">
        <f t="shared" ref="H142:H144" si="17">D142*G142</f>
        <v>997.24800000000016</v>
      </c>
      <c r="I142" s="96"/>
    </row>
    <row r="143" spans="1:9" x14ac:dyDescent="0.25">
      <c r="A143" s="95"/>
      <c r="B143" s="26" t="s">
        <v>53</v>
      </c>
      <c r="C143" s="27" t="s">
        <v>47</v>
      </c>
      <c r="D143" s="16">
        <f>D140*6*0.1</f>
        <v>76.800000000000011</v>
      </c>
      <c r="E143" s="10"/>
      <c r="F143" s="10"/>
      <c r="G143" s="16">
        <v>1.98</v>
      </c>
      <c r="H143" s="17">
        <f t="shared" si="17"/>
        <v>152.06400000000002</v>
      </c>
      <c r="I143" s="96"/>
    </row>
    <row r="144" spans="1:9" x14ac:dyDescent="0.25">
      <c r="A144" s="95"/>
      <c r="B144" s="26" t="s">
        <v>172</v>
      </c>
      <c r="C144" s="27" t="s">
        <v>47</v>
      </c>
      <c r="D144" s="16">
        <f>D140*0.4*0.1</f>
        <v>5.120000000000001</v>
      </c>
      <c r="E144" s="10"/>
      <c r="F144" s="10"/>
      <c r="G144" s="16">
        <v>20.25</v>
      </c>
      <c r="H144" s="17">
        <f t="shared" si="17"/>
        <v>103.68000000000002</v>
      </c>
      <c r="I144" s="96"/>
    </row>
    <row r="145" spans="1:9" s="5" customFormat="1" ht="14.45" customHeight="1" x14ac:dyDescent="0.25">
      <c r="A145" s="109"/>
      <c r="B145" s="48" t="s">
        <v>16</v>
      </c>
      <c r="C145" s="47" t="s">
        <v>8</v>
      </c>
      <c r="D145" s="55">
        <v>930.7</v>
      </c>
      <c r="E145" s="49"/>
      <c r="F145" s="49"/>
      <c r="G145" s="49"/>
      <c r="H145" s="49"/>
      <c r="I145" s="110"/>
    </row>
    <row r="146" spans="1:9" x14ac:dyDescent="0.25">
      <c r="A146" s="111"/>
      <c r="B146" s="51" t="s">
        <v>17</v>
      </c>
      <c r="C146" s="50"/>
      <c r="D146" s="52"/>
      <c r="E146" s="53"/>
      <c r="F146" s="53"/>
      <c r="G146" s="53"/>
      <c r="H146" s="53"/>
      <c r="I146" s="112"/>
    </row>
    <row r="147" spans="1:9" x14ac:dyDescent="0.25">
      <c r="A147" s="111"/>
      <c r="B147" s="51" t="s">
        <v>18</v>
      </c>
      <c r="C147" s="50"/>
      <c r="D147" s="52"/>
      <c r="E147" s="53"/>
      <c r="F147" s="53"/>
      <c r="G147" s="53"/>
      <c r="H147" s="53"/>
      <c r="I147" s="112"/>
    </row>
    <row r="148" spans="1:9" x14ac:dyDescent="0.25">
      <c r="A148" s="111"/>
      <c r="B148" s="51" t="s">
        <v>19</v>
      </c>
      <c r="C148" s="50"/>
      <c r="D148" s="52"/>
      <c r="E148" s="53"/>
      <c r="F148" s="53"/>
      <c r="G148" s="53"/>
      <c r="H148" s="53"/>
      <c r="I148" s="112"/>
    </row>
    <row r="149" spans="1:9" s="5" customFormat="1" ht="14.45" customHeight="1" x14ac:dyDescent="0.25">
      <c r="A149" s="103" t="s">
        <v>118</v>
      </c>
      <c r="B149" s="11" t="s">
        <v>20</v>
      </c>
      <c r="C149" s="43"/>
      <c r="D149" s="12"/>
      <c r="E149" s="13"/>
      <c r="F149" s="13"/>
      <c r="G149" s="13"/>
      <c r="H149" s="13"/>
      <c r="I149" s="104"/>
    </row>
    <row r="150" spans="1:9" s="44" customFormat="1" x14ac:dyDescent="0.25">
      <c r="A150" s="169" t="s">
        <v>119</v>
      </c>
      <c r="B150" s="154" t="s">
        <v>373</v>
      </c>
      <c r="C150" s="37" t="s">
        <v>8</v>
      </c>
      <c r="D150" s="39">
        <v>11.06</v>
      </c>
      <c r="E150" s="39">
        <v>25</v>
      </c>
      <c r="F150" s="39">
        <f>D150*E150</f>
        <v>276.5</v>
      </c>
      <c r="G150" s="39">
        <f>H150/D150</f>
        <v>10</v>
      </c>
      <c r="H150" s="39">
        <f>SUM(H151)</f>
        <v>110.60000000000001</v>
      </c>
      <c r="I150" s="100">
        <f>F150+H150</f>
        <v>387.1</v>
      </c>
    </row>
    <row r="151" spans="1:9" s="18" customFormat="1" x14ac:dyDescent="0.25">
      <c r="A151" s="107"/>
      <c r="B151" s="28" t="s">
        <v>86</v>
      </c>
      <c r="C151" s="29" t="s">
        <v>51</v>
      </c>
      <c r="D151" s="30">
        <f>D150*0.1/1.5</f>
        <v>0.7373333333333334</v>
      </c>
      <c r="E151" s="46"/>
      <c r="F151" s="46"/>
      <c r="G151" s="17">
        <v>150</v>
      </c>
      <c r="H151" s="31">
        <f>D151*G151</f>
        <v>110.60000000000001</v>
      </c>
      <c r="I151" s="108"/>
    </row>
    <row r="152" spans="1:9" ht="28.5" x14ac:dyDescent="0.25">
      <c r="A152" s="99" t="s">
        <v>120</v>
      </c>
      <c r="B152" s="42" t="s">
        <v>79</v>
      </c>
      <c r="C152" s="37" t="s">
        <v>8</v>
      </c>
      <c r="D152" s="39">
        <v>16.52</v>
      </c>
      <c r="E152" s="39">
        <v>25</v>
      </c>
      <c r="F152" s="39">
        <f>D152*E152</f>
        <v>413</v>
      </c>
      <c r="G152" s="39">
        <f>H152/D152</f>
        <v>38.370472499999998</v>
      </c>
      <c r="H152" s="39">
        <f>SUM(H153:H154)</f>
        <v>633.88020569999992</v>
      </c>
      <c r="I152" s="100">
        <f>F152+H152</f>
        <v>1046.8802056999998</v>
      </c>
    </row>
    <row r="153" spans="1:9" x14ac:dyDescent="0.25">
      <c r="A153" s="99"/>
      <c r="B153" s="26" t="s">
        <v>52</v>
      </c>
      <c r="C153" s="27" t="s">
        <v>47</v>
      </c>
      <c r="D153" s="16">
        <f>D152*0.15</f>
        <v>2.4779999999999998</v>
      </c>
      <c r="E153" s="39"/>
      <c r="F153" s="39"/>
      <c r="G153" s="16">
        <f>6.605*1.03</f>
        <v>6.8031500000000005</v>
      </c>
      <c r="H153" s="17">
        <f>D153*G153</f>
        <v>16.858205699999999</v>
      </c>
      <c r="I153" s="96"/>
    </row>
    <row r="154" spans="1:9" ht="14.25" customHeight="1" x14ac:dyDescent="0.25">
      <c r="A154" s="99"/>
      <c r="B154" s="14" t="s">
        <v>59</v>
      </c>
      <c r="C154" s="9" t="s">
        <v>47</v>
      </c>
      <c r="D154" s="145">
        <f>D152*5</f>
        <v>82.6</v>
      </c>
      <c r="E154" s="39"/>
      <c r="F154" s="39"/>
      <c r="G154" s="16">
        <v>7.47</v>
      </c>
      <c r="H154" s="17">
        <f>D154*G154</f>
        <v>617.02199999999993</v>
      </c>
      <c r="I154" s="96"/>
    </row>
    <row r="155" spans="1:9" ht="28.5" x14ac:dyDescent="0.25">
      <c r="A155" s="99" t="s">
        <v>121</v>
      </c>
      <c r="B155" s="42" t="s">
        <v>351</v>
      </c>
      <c r="C155" s="37" t="s">
        <v>8</v>
      </c>
      <c r="D155" s="39">
        <v>11.06</v>
      </c>
      <c r="E155" s="34">
        <f>E11</f>
        <v>50</v>
      </c>
      <c r="F155" s="39">
        <f>D155*E155</f>
        <v>553</v>
      </c>
      <c r="G155" s="39">
        <f>H155/D155</f>
        <v>73.316900000000004</v>
      </c>
      <c r="H155" s="39">
        <f>SUM(H156:H158)</f>
        <v>810.88491400000009</v>
      </c>
      <c r="I155" s="100">
        <f>F155+H155</f>
        <v>1363.8849140000002</v>
      </c>
    </row>
    <row r="156" spans="1:9" s="18" customFormat="1" x14ac:dyDescent="0.25">
      <c r="A156" s="105"/>
      <c r="B156" s="6" t="s">
        <v>393</v>
      </c>
      <c r="C156" s="29" t="s">
        <v>51</v>
      </c>
      <c r="D156" s="8">
        <f>(D155*400*0.06*1.02)/1000</f>
        <v>0.27074880000000001</v>
      </c>
      <c r="E156" s="45"/>
      <c r="F156" s="45"/>
      <c r="G156" s="17">
        <v>1620</v>
      </c>
      <c r="H156" s="17">
        <f>D156*G156</f>
        <v>438.61305600000003</v>
      </c>
      <c r="I156" s="106"/>
    </row>
    <row r="157" spans="1:9" s="18" customFormat="1" x14ac:dyDescent="0.25">
      <c r="A157" s="107"/>
      <c r="B157" s="28" t="s">
        <v>86</v>
      </c>
      <c r="C157" s="29" t="s">
        <v>51</v>
      </c>
      <c r="D157" s="30">
        <f>(D155*1940*0.065*1.02)/1000</f>
        <v>1.4225593200000004</v>
      </c>
      <c r="E157" s="46"/>
      <c r="F157" s="46"/>
      <c r="G157" s="17">
        <v>150</v>
      </c>
      <c r="H157" s="31">
        <f>D157*G157</f>
        <v>213.38389800000007</v>
      </c>
      <c r="I157" s="108"/>
    </row>
    <row r="158" spans="1:9" ht="15" customHeight="1" x14ac:dyDescent="0.25">
      <c r="A158" s="99"/>
      <c r="B158" s="148" t="s">
        <v>352</v>
      </c>
      <c r="C158" s="149" t="s">
        <v>8</v>
      </c>
      <c r="D158" s="145">
        <f>D155*1.1</f>
        <v>12.166000000000002</v>
      </c>
      <c r="E158" s="145"/>
      <c r="F158" s="145"/>
      <c r="G158" s="152">
        <v>13.06</v>
      </c>
      <c r="H158" s="183">
        <f>D158*G158</f>
        <v>158.88796000000002</v>
      </c>
      <c r="I158" s="151"/>
    </row>
    <row r="159" spans="1:9" ht="28.5" x14ac:dyDescent="0.25">
      <c r="A159" s="99" t="s">
        <v>121</v>
      </c>
      <c r="B159" s="42" t="s">
        <v>103</v>
      </c>
      <c r="C159" s="37" t="s">
        <v>8</v>
      </c>
      <c r="D159" s="39">
        <v>11.06</v>
      </c>
      <c r="E159" s="39">
        <f>E26</f>
        <v>118</v>
      </c>
      <c r="F159" s="39">
        <f>D159*E159</f>
        <v>1305.0800000000002</v>
      </c>
      <c r="G159" s="39">
        <f>H159/D159</f>
        <v>98.910472500000012</v>
      </c>
      <c r="H159" s="39">
        <f>SUM(H160:H163)</f>
        <v>1093.9498258500003</v>
      </c>
      <c r="I159" s="100">
        <f>F159+H159</f>
        <v>2399.0298258500006</v>
      </c>
    </row>
    <row r="160" spans="1:9" x14ac:dyDescent="0.25">
      <c r="A160" s="99"/>
      <c r="B160" s="26" t="s">
        <v>52</v>
      </c>
      <c r="C160" s="27" t="s">
        <v>47</v>
      </c>
      <c r="D160" s="16">
        <f>D159*0.15</f>
        <v>1.659</v>
      </c>
      <c r="E160" s="39"/>
      <c r="F160" s="39"/>
      <c r="G160" s="16">
        <f>6.605*1.03</f>
        <v>6.8031500000000005</v>
      </c>
      <c r="H160" s="17">
        <f>D160*G160</f>
        <v>11.286425850000001</v>
      </c>
      <c r="I160" s="96"/>
    </row>
    <row r="161" spans="1:9" ht="14.25" customHeight="1" x14ac:dyDescent="0.25">
      <c r="A161" s="99"/>
      <c r="B161" s="14" t="s">
        <v>87</v>
      </c>
      <c r="C161" s="9" t="s">
        <v>8</v>
      </c>
      <c r="D161" s="16">
        <f>D159*1.05</f>
        <v>11.613000000000001</v>
      </c>
      <c r="E161" s="39"/>
      <c r="F161" s="39"/>
      <c r="G161" s="16">
        <v>74.2</v>
      </c>
      <c r="H161" s="17">
        <f t="shared" ref="H161:H163" si="18">D161*G161</f>
        <v>861.68460000000016</v>
      </c>
      <c r="I161" s="96"/>
    </row>
    <row r="162" spans="1:9" x14ac:dyDescent="0.25">
      <c r="A162" s="99"/>
      <c r="B162" s="26" t="s">
        <v>53</v>
      </c>
      <c r="C162" s="27" t="s">
        <v>47</v>
      </c>
      <c r="D162" s="16">
        <f>D159*6</f>
        <v>66.36</v>
      </c>
      <c r="E162" s="39"/>
      <c r="F162" s="39"/>
      <c r="G162" s="16">
        <v>1.98</v>
      </c>
      <c r="H162" s="17">
        <f t="shared" si="18"/>
        <v>131.39279999999999</v>
      </c>
      <c r="I162" s="96"/>
    </row>
    <row r="163" spans="1:9" x14ac:dyDescent="0.25">
      <c r="A163" s="99"/>
      <c r="B163" s="26" t="s">
        <v>172</v>
      </c>
      <c r="C163" s="27" t="s">
        <v>47</v>
      </c>
      <c r="D163" s="16">
        <f>D159*0.4</f>
        <v>4.4240000000000004</v>
      </c>
      <c r="E163" s="39"/>
      <c r="F163" s="39"/>
      <c r="G163" s="16">
        <v>20.25</v>
      </c>
      <c r="H163" s="17">
        <f t="shared" si="18"/>
        <v>89.586000000000013</v>
      </c>
      <c r="I163" s="96"/>
    </row>
    <row r="164" spans="1:9" ht="28.5" x14ac:dyDescent="0.25">
      <c r="A164" s="99" t="s">
        <v>122</v>
      </c>
      <c r="B164" s="42" t="s">
        <v>271</v>
      </c>
      <c r="C164" s="37" t="s">
        <v>12</v>
      </c>
      <c r="D164" s="146">
        <v>18.2</v>
      </c>
      <c r="E164" s="39">
        <v>20</v>
      </c>
      <c r="F164" s="39">
        <f>D164*E164</f>
        <v>364</v>
      </c>
      <c r="G164" s="39">
        <f>H164/D164</f>
        <v>14.836570875000001</v>
      </c>
      <c r="H164" s="39">
        <f>SUM(H165:H168)</f>
        <v>270.02558992500002</v>
      </c>
      <c r="I164" s="100">
        <f>F164+H164</f>
        <v>634.02558992500008</v>
      </c>
    </row>
    <row r="165" spans="1:9" x14ac:dyDescent="0.25">
      <c r="A165" s="95"/>
      <c r="B165" s="26" t="s">
        <v>52</v>
      </c>
      <c r="C165" s="27" t="s">
        <v>47</v>
      </c>
      <c r="D165" s="16">
        <f>D164*0.15*0.15</f>
        <v>0.40949999999999998</v>
      </c>
      <c r="E165" s="10"/>
      <c r="F165" s="10"/>
      <c r="G165" s="16">
        <f>6.605*1.03</f>
        <v>6.8031500000000005</v>
      </c>
      <c r="H165" s="17">
        <f>D165*G165</f>
        <v>2.7858899250000002</v>
      </c>
      <c r="I165" s="96"/>
    </row>
    <row r="166" spans="1:9" ht="14.25" customHeight="1" x14ac:dyDescent="0.25">
      <c r="A166" s="95"/>
      <c r="B166" s="14" t="s">
        <v>87</v>
      </c>
      <c r="C166" s="9" t="s">
        <v>8</v>
      </c>
      <c r="D166" s="16">
        <f>D164*1.05*0.15</f>
        <v>2.8664999999999998</v>
      </c>
      <c r="E166" s="10"/>
      <c r="F166" s="10"/>
      <c r="G166" s="16">
        <v>74.2</v>
      </c>
      <c r="H166" s="17">
        <f t="shared" ref="H166:H168" si="19">D166*G166</f>
        <v>212.6943</v>
      </c>
      <c r="I166" s="96"/>
    </row>
    <row r="167" spans="1:9" x14ac:dyDescent="0.25">
      <c r="A167" s="95"/>
      <c r="B167" s="26" t="s">
        <v>53</v>
      </c>
      <c r="C167" s="27" t="s">
        <v>47</v>
      </c>
      <c r="D167" s="16">
        <f>D164*6*0.15</f>
        <v>16.38</v>
      </c>
      <c r="E167" s="10"/>
      <c r="F167" s="10"/>
      <c r="G167" s="16">
        <v>1.98</v>
      </c>
      <c r="H167" s="17">
        <f t="shared" si="19"/>
        <v>32.432400000000001</v>
      </c>
      <c r="I167" s="96"/>
    </row>
    <row r="168" spans="1:9" x14ac:dyDescent="0.25">
      <c r="A168" s="95"/>
      <c r="B168" s="26" t="s">
        <v>172</v>
      </c>
      <c r="C168" s="27" t="s">
        <v>47</v>
      </c>
      <c r="D168" s="16">
        <f>D164*0.4*0.15</f>
        <v>1.0920000000000001</v>
      </c>
      <c r="E168" s="10"/>
      <c r="F168" s="10"/>
      <c r="G168" s="16">
        <v>20.25</v>
      </c>
      <c r="H168" s="17">
        <f t="shared" si="19"/>
        <v>22.113000000000003</v>
      </c>
      <c r="I168" s="96"/>
    </row>
    <row r="169" spans="1:9" s="5" customFormat="1" ht="14.45" customHeight="1" x14ac:dyDescent="0.25">
      <c r="A169" s="103" t="s">
        <v>123</v>
      </c>
      <c r="B169" s="11" t="s">
        <v>21</v>
      </c>
      <c r="C169" s="43"/>
      <c r="D169" s="12"/>
      <c r="E169" s="13"/>
      <c r="F169" s="13"/>
      <c r="G169" s="13"/>
      <c r="H169" s="13"/>
      <c r="I169" s="104"/>
    </row>
    <row r="170" spans="1:9" ht="28.5" x14ac:dyDescent="0.25">
      <c r="A170" s="99" t="s">
        <v>124</v>
      </c>
      <c r="B170" s="42" t="s">
        <v>79</v>
      </c>
      <c r="C170" s="37" t="s">
        <v>8</v>
      </c>
      <c r="D170" s="39">
        <v>200.67</v>
      </c>
      <c r="E170" s="39">
        <v>25</v>
      </c>
      <c r="F170" s="39">
        <f>D170*E170</f>
        <v>5016.75</v>
      </c>
      <c r="G170" s="39">
        <f>H170/D170</f>
        <v>38.370472499999998</v>
      </c>
      <c r="H170" s="39">
        <f>SUM(H171:H172)</f>
        <v>7699.8027165749991</v>
      </c>
      <c r="I170" s="100">
        <f>F170+H170</f>
        <v>12716.552716574999</v>
      </c>
    </row>
    <row r="171" spans="1:9" x14ac:dyDescent="0.25">
      <c r="A171" s="99"/>
      <c r="B171" s="26" t="s">
        <v>52</v>
      </c>
      <c r="C171" s="27" t="s">
        <v>47</v>
      </c>
      <c r="D171" s="16">
        <f>D170*0.15</f>
        <v>30.100499999999997</v>
      </c>
      <c r="E171" s="39"/>
      <c r="F171" s="39"/>
      <c r="G171" s="16">
        <f>6.605*1.03</f>
        <v>6.8031500000000005</v>
      </c>
      <c r="H171" s="17">
        <f>D171*G171</f>
        <v>204.77821657499999</v>
      </c>
      <c r="I171" s="96"/>
    </row>
    <row r="172" spans="1:9" ht="14.25" customHeight="1" x14ac:dyDescent="0.25">
      <c r="A172" s="99"/>
      <c r="B172" s="14" t="s">
        <v>106</v>
      </c>
      <c r="C172" s="9" t="s">
        <v>47</v>
      </c>
      <c r="D172" s="145">
        <f>D170*5</f>
        <v>1003.3499999999999</v>
      </c>
      <c r="E172" s="39"/>
      <c r="F172" s="39"/>
      <c r="G172" s="16">
        <v>7.47</v>
      </c>
      <c r="H172" s="17">
        <f>D172*G172</f>
        <v>7495.0244999999986</v>
      </c>
      <c r="I172" s="96"/>
    </row>
    <row r="173" spans="1:9" s="44" customFormat="1" x14ac:dyDescent="0.25">
      <c r="A173" s="99" t="s">
        <v>125</v>
      </c>
      <c r="B173" s="42" t="s">
        <v>108</v>
      </c>
      <c r="C173" s="37" t="s">
        <v>8</v>
      </c>
      <c r="D173" s="39">
        <v>162.93</v>
      </c>
      <c r="E173" s="39">
        <v>25</v>
      </c>
      <c r="F173" s="39">
        <f>D173*E173</f>
        <v>4073.25</v>
      </c>
      <c r="G173" s="39">
        <f>H173/D173</f>
        <v>10</v>
      </c>
      <c r="H173" s="39">
        <f>SUM(H174)</f>
        <v>1629.3000000000002</v>
      </c>
      <c r="I173" s="100">
        <f>F173+H173</f>
        <v>5702.55</v>
      </c>
    </row>
    <row r="174" spans="1:9" s="18" customFormat="1" x14ac:dyDescent="0.25">
      <c r="A174" s="107"/>
      <c r="B174" s="28" t="s">
        <v>86</v>
      </c>
      <c r="C174" s="29" t="s">
        <v>51</v>
      </c>
      <c r="D174" s="30">
        <f>D173*0.1/1.5</f>
        <v>10.862000000000002</v>
      </c>
      <c r="E174" s="46"/>
      <c r="F174" s="46"/>
      <c r="G174" s="17">
        <v>150</v>
      </c>
      <c r="H174" s="31">
        <f>D174*G174</f>
        <v>1629.3000000000002</v>
      </c>
      <c r="I174" s="108"/>
    </row>
    <row r="175" spans="1:9" ht="28.5" x14ac:dyDescent="0.25">
      <c r="A175" s="99" t="s">
        <v>126</v>
      </c>
      <c r="B175" s="42" t="s">
        <v>109</v>
      </c>
      <c r="C175" s="37" t="s">
        <v>8</v>
      </c>
      <c r="D175" s="39">
        <v>162.93</v>
      </c>
      <c r="E175" s="39">
        <v>60</v>
      </c>
      <c r="F175" s="39">
        <f>D175*E175</f>
        <v>9775.8000000000011</v>
      </c>
      <c r="G175" s="39">
        <f>H175/D175</f>
        <v>96.143988289449467</v>
      </c>
      <c r="H175" s="39">
        <f>SUM(H176:H179)</f>
        <v>15664.740012000002</v>
      </c>
      <c r="I175" s="100">
        <f>F175+H175</f>
        <v>25440.540012000005</v>
      </c>
    </row>
    <row r="176" spans="1:9" s="18" customFormat="1" outlineLevel="1" x14ac:dyDescent="0.25">
      <c r="A176" s="105"/>
      <c r="B176" s="6" t="s">
        <v>393</v>
      </c>
      <c r="C176" s="7" t="s">
        <v>51</v>
      </c>
      <c r="D176" s="8">
        <f>(D175*400*0.08*1.02)/1000</f>
        <v>5.3180352000000006</v>
      </c>
      <c r="E176" s="17"/>
      <c r="F176" s="17"/>
      <c r="G176" s="17">
        <v>1620</v>
      </c>
      <c r="H176" s="17">
        <f>D176*G176</f>
        <v>8615.2170240000014</v>
      </c>
      <c r="I176" s="98"/>
    </row>
    <row r="177" spans="1:9" s="18" customFormat="1" outlineLevel="1" x14ac:dyDescent="0.25">
      <c r="A177" s="105"/>
      <c r="B177" s="6" t="s">
        <v>86</v>
      </c>
      <c r="C177" s="7" t="s">
        <v>51</v>
      </c>
      <c r="D177" s="8">
        <f>(D175*1940*0.08*1.02)/1000</f>
        <v>25.792470720000001</v>
      </c>
      <c r="E177" s="17"/>
      <c r="F177" s="17"/>
      <c r="G177" s="17">
        <v>150</v>
      </c>
      <c r="H177" s="17">
        <f t="shared" ref="H177:H179" si="20">D177*G177</f>
        <v>3868.8706080000002</v>
      </c>
      <c r="I177" s="98"/>
    </row>
    <row r="178" spans="1:9" ht="15" customHeight="1" x14ac:dyDescent="0.25">
      <c r="A178" s="99"/>
      <c r="B178" s="148" t="s">
        <v>352</v>
      </c>
      <c r="C178" s="9" t="s">
        <v>8</v>
      </c>
      <c r="D178" s="16">
        <f>D175*1.1</f>
        <v>179.22300000000001</v>
      </c>
      <c r="E178" s="16"/>
      <c r="F178" s="16"/>
      <c r="G178" s="152">
        <v>13.06</v>
      </c>
      <c r="H178" s="17">
        <f t="shared" si="20"/>
        <v>2340.6523800000004</v>
      </c>
      <c r="I178" s="96"/>
    </row>
    <row r="179" spans="1:9" x14ac:dyDescent="0.25">
      <c r="A179" s="99"/>
      <c r="B179" s="14" t="s">
        <v>110</v>
      </c>
      <c r="C179" s="9" t="s">
        <v>111</v>
      </c>
      <c r="D179" s="8">
        <v>0.4</v>
      </c>
      <c r="E179" s="17"/>
      <c r="F179" s="17"/>
      <c r="G179" s="17">
        <v>2100</v>
      </c>
      <c r="H179" s="17">
        <f t="shared" si="20"/>
        <v>840</v>
      </c>
      <c r="I179" s="96"/>
    </row>
    <row r="180" spans="1:9" ht="28.5" x14ac:dyDescent="0.25">
      <c r="A180" s="99" t="s">
        <v>127</v>
      </c>
      <c r="B180" s="42" t="s">
        <v>103</v>
      </c>
      <c r="C180" s="37" t="s">
        <v>8</v>
      </c>
      <c r="D180" s="39">
        <v>162.93</v>
      </c>
      <c r="E180" s="39">
        <f>E26</f>
        <v>118</v>
      </c>
      <c r="F180" s="39">
        <f>D180*E180</f>
        <v>19225.740000000002</v>
      </c>
      <c r="G180" s="39">
        <f>H180/D180</f>
        <v>98.910472499999997</v>
      </c>
      <c r="H180" s="39">
        <f>SUM(H181:H184)</f>
        <v>16115.483284425001</v>
      </c>
      <c r="I180" s="100">
        <f>F180+H180</f>
        <v>35341.223284425003</v>
      </c>
    </row>
    <row r="181" spans="1:9" x14ac:dyDescent="0.25">
      <c r="A181" s="99"/>
      <c r="B181" s="26" t="s">
        <v>52</v>
      </c>
      <c r="C181" s="27" t="s">
        <v>47</v>
      </c>
      <c r="D181" s="16">
        <f>D180*0.15</f>
        <v>24.439499999999999</v>
      </c>
      <c r="E181" s="39"/>
      <c r="F181" s="39"/>
      <c r="G181" s="16">
        <f>6.605*1.03</f>
        <v>6.8031500000000005</v>
      </c>
      <c r="H181" s="17">
        <f>D181*G181</f>
        <v>166.26558442500001</v>
      </c>
      <c r="I181" s="96"/>
    </row>
    <row r="182" spans="1:9" ht="14.25" customHeight="1" x14ac:dyDescent="0.25">
      <c r="A182" s="99"/>
      <c r="B182" s="14" t="s">
        <v>87</v>
      </c>
      <c r="C182" s="9" t="s">
        <v>8</v>
      </c>
      <c r="D182" s="16">
        <f>D180*1.05</f>
        <v>171.07650000000001</v>
      </c>
      <c r="E182" s="39"/>
      <c r="F182" s="39"/>
      <c r="G182" s="16">
        <v>74.2</v>
      </c>
      <c r="H182" s="17">
        <f t="shared" ref="H182:H184" si="21">D182*G182</f>
        <v>12693.876300000002</v>
      </c>
      <c r="I182" s="96"/>
    </row>
    <row r="183" spans="1:9" x14ac:dyDescent="0.25">
      <c r="A183" s="99"/>
      <c r="B183" s="26" t="s">
        <v>53</v>
      </c>
      <c r="C183" s="27" t="s">
        <v>47</v>
      </c>
      <c r="D183" s="16">
        <f>D180*6</f>
        <v>977.58</v>
      </c>
      <c r="E183" s="39"/>
      <c r="F183" s="39"/>
      <c r="G183" s="16">
        <v>1.98</v>
      </c>
      <c r="H183" s="17">
        <f t="shared" si="21"/>
        <v>1935.6084000000001</v>
      </c>
      <c r="I183" s="96"/>
    </row>
    <row r="184" spans="1:9" x14ac:dyDescent="0.25">
      <c r="A184" s="99"/>
      <c r="B184" s="26" t="s">
        <v>172</v>
      </c>
      <c r="C184" s="27" t="s">
        <v>47</v>
      </c>
      <c r="D184" s="16">
        <f>D180*0.4</f>
        <v>65.172000000000011</v>
      </c>
      <c r="E184" s="39"/>
      <c r="F184" s="39"/>
      <c r="G184" s="16">
        <v>20.25</v>
      </c>
      <c r="H184" s="17">
        <f t="shared" si="21"/>
        <v>1319.7330000000002</v>
      </c>
      <c r="I184" s="96"/>
    </row>
    <row r="185" spans="1:9" ht="28.5" x14ac:dyDescent="0.25">
      <c r="A185" s="99" t="s">
        <v>128</v>
      </c>
      <c r="B185" s="42" t="s">
        <v>271</v>
      </c>
      <c r="C185" s="37" t="s">
        <v>12</v>
      </c>
      <c r="D185" s="146">
        <v>125.8</v>
      </c>
      <c r="E185" s="39">
        <v>20</v>
      </c>
      <c r="F185" s="39">
        <f>D185*E185</f>
        <v>2516</v>
      </c>
      <c r="G185" s="39">
        <f>H185/D185</f>
        <v>14.836570875000001</v>
      </c>
      <c r="H185" s="39">
        <f>SUM(H186:H189)</f>
        <v>1866.4406160750002</v>
      </c>
      <c r="I185" s="100">
        <f>F185+H185</f>
        <v>4382.4406160750004</v>
      </c>
    </row>
    <row r="186" spans="1:9" x14ac:dyDescent="0.25">
      <c r="A186" s="95"/>
      <c r="B186" s="26" t="s">
        <v>52</v>
      </c>
      <c r="C186" s="27" t="s">
        <v>47</v>
      </c>
      <c r="D186" s="16">
        <f>D185*0.15*0.15</f>
        <v>2.8304999999999993</v>
      </c>
      <c r="E186" s="10"/>
      <c r="F186" s="10"/>
      <c r="G186" s="16">
        <f>6.605*1.03</f>
        <v>6.8031500000000005</v>
      </c>
      <c r="H186" s="17">
        <f>D186*G186</f>
        <v>19.256316074999997</v>
      </c>
      <c r="I186" s="96"/>
    </row>
    <row r="187" spans="1:9" ht="14.25" customHeight="1" x14ac:dyDescent="0.25">
      <c r="A187" s="95"/>
      <c r="B187" s="14" t="s">
        <v>87</v>
      </c>
      <c r="C187" s="9" t="s">
        <v>8</v>
      </c>
      <c r="D187" s="16">
        <f>D185*1.05*0.15</f>
        <v>19.813500000000001</v>
      </c>
      <c r="E187" s="10"/>
      <c r="F187" s="10"/>
      <c r="G187" s="16">
        <v>74.2</v>
      </c>
      <c r="H187" s="17">
        <f t="shared" ref="H187:H189" si="22">D187*G187</f>
        <v>1470.1617000000001</v>
      </c>
      <c r="I187" s="96"/>
    </row>
    <row r="188" spans="1:9" x14ac:dyDescent="0.25">
      <c r="A188" s="95"/>
      <c r="B188" s="26" t="s">
        <v>53</v>
      </c>
      <c r="C188" s="27" t="s">
        <v>47</v>
      </c>
      <c r="D188" s="16">
        <f>D185*6*0.15</f>
        <v>113.21999999999998</v>
      </c>
      <c r="E188" s="10"/>
      <c r="F188" s="10"/>
      <c r="G188" s="16">
        <v>1.98</v>
      </c>
      <c r="H188" s="17">
        <f t="shared" si="22"/>
        <v>224.17559999999997</v>
      </c>
      <c r="I188" s="96"/>
    </row>
    <row r="189" spans="1:9" x14ac:dyDescent="0.25">
      <c r="A189" s="95"/>
      <c r="B189" s="26" t="s">
        <v>172</v>
      </c>
      <c r="C189" s="27" t="s">
        <v>47</v>
      </c>
      <c r="D189" s="16">
        <f>D185*0.4*0.15</f>
        <v>7.548</v>
      </c>
      <c r="E189" s="10"/>
      <c r="F189" s="10"/>
      <c r="G189" s="16">
        <v>20.25</v>
      </c>
      <c r="H189" s="17">
        <f t="shared" si="22"/>
        <v>152.84700000000001</v>
      </c>
      <c r="I189" s="96"/>
    </row>
    <row r="190" spans="1:9" s="5" customFormat="1" ht="30" x14ac:dyDescent="0.25">
      <c r="A190" s="103" t="s">
        <v>129</v>
      </c>
      <c r="B190" s="153" t="s">
        <v>353</v>
      </c>
      <c r="C190" s="43"/>
      <c r="D190" s="12"/>
      <c r="E190" s="13"/>
      <c r="F190" s="13"/>
      <c r="G190" s="13"/>
      <c r="H190" s="13"/>
      <c r="I190" s="104"/>
    </row>
    <row r="191" spans="1:9" s="44" customFormat="1" x14ac:dyDescent="0.25">
      <c r="A191" s="99" t="s">
        <v>130</v>
      </c>
      <c r="B191" s="154" t="s">
        <v>354</v>
      </c>
      <c r="C191" s="37" t="s">
        <v>8</v>
      </c>
      <c r="D191" s="146">
        <v>58.25</v>
      </c>
      <c r="E191" s="39">
        <v>25</v>
      </c>
      <c r="F191" s="39">
        <f>D191*E191</f>
        <v>1456.25</v>
      </c>
      <c r="G191" s="39">
        <f>H191/D191</f>
        <v>10</v>
      </c>
      <c r="H191" s="39">
        <f>SUM(H192)</f>
        <v>582.5</v>
      </c>
      <c r="I191" s="100">
        <f>F191+H191</f>
        <v>2038.75</v>
      </c>
    </row>
    <row r="192" spans="1:9" s="18" customFormat="1" x14ac:dyDescent="0.25">
      <c r="A192" s="107"/>
      <c r="B192" s="28" t="s">
        <v>86</v>
      </c>
      <c r="C192" s="29" t="s">
        <v>51</v>
      </c>
      <c r="D192" s="155">
        <f>D191*0.1/1.5</f>
        <v>3.8833333333333333</v>
      </c>
      <c r="E192" s="46"/>
      <c r="F192" s="46"/>
      <c r="G192" s="17">
        <v>150</v>
      </c>
      <c r="H192" s="31">
        <f>D192*G192</f>
        <v>582.5</v>
      </c>
      <c r="I192" s="108"/>
    </row>
    <row r="193" spans="1:9" x14ac:dyDescent="0.25">
      <c r="A193" s="99" t="s">
        <v>131</v>
      </c>
      <c r="B193" s="42" t="s">
        <v>117</v>
      </c>
      <c r="C193" s="37" t="s">
        <v>8</v>
      </c>
      <c r="D193" s="146">
        <v>58.25</v>
      </c>
      <c r="E193" s="39">
        <v>60</v>
      </c>
      <c r="F193" s="39">
        <f>D193*E193</f>
        <v>3495</v>
      </c>
      <c r="G193" s="39">
        <f>H193/D193</f>
        <v>97.477670386266098</v>
      </c>
      <c r="H193" s="39">
        <f>SUM(H194:H197)</f>
        <v>5678.0743000000002</v>
      </c>
      <c r="I193" s="100">
        <f>F193+H193</f>
        <v>9173.0743000000002</v>
      </c>
    </row>
    <row r="194" spans="1:9" s="18" customFormat="1" outlineLevel="1" x14ac:dyDescent="0.25">
      <c r="A194" s="105"/>
      <c r="B194" s="6" t="s">
        <v>393</v>
      </c>
      <c r="C194" s="7" t="s">
        <v>51</v>
      </c>
      <c r="D194" s="8">
        <f>(D193*400*0.08*1.02)/1000</f>
        <v>1.9012800000000001</v>
      </c>
      <c r="E194" s="17"/>
      <c r="F194" s="17"/>
      <c r="G194" s="17">
        <v>1620</v>
      </c>
      <c r="H194" s="17">
        <f>D194*G194</f>
        <v>3080.0736000000002</v>
      </c>
      <c r="I194" s="98"/>
    </row>
    <row r="195" spans="1:9" s="18" customFormat="1" outlineLevel="1" x14ac:dyDescent="0.25">
      <c r="A195" s="105"/>
      <c r="B195" s="6" t="s">
        <v>86</v>
      </c>
      <c r="C195" s="7" t="s">
        <v>51</v>
      </c>
      <c r="D195" s="8">
        <f>(D193*1940*0.08*1.02)/1000</f>
        <v>9.2212080000000007</v>
      </c>
      <c r="E195" s="17"/>
      <c r="F195" s="17"/>
      <c r="G195" s="17">
        <v>150</v>
      </c>
      <c r="H195" s="17">
        <f t="shared" ref="H195:H197" si="23">D195*G195</f>
        <v>1383.1812000000002</v>
      </c>
      <c r="I195" s="98"/>
    </row>
    <row r="196" spans="1:9" ht="15" customHeight="1" x14ac:dyDescent="0.25">
      <c r="A196" s="99"/>
      <c r="B196" s="148" t="s">
        <v>352</v>
      </c>
      <c r="C196" s="9" t="s">
        <v>8</v>
      </c>
      <c r="D196" s="16">
        <f>D193*1.1</f>
        <v>64.075000000000003</v>
      </c>
      <c r="E196" s="16"/>
      <c r="F196" s="16"/>
      <c r="G196" s="152">
        <v>13.06</v>
      </c>
      <c r="H196" s="17">
        <f t="shared" si="23"/>
        <v>836.81950000000006</v>
      </c>
      <c r="I196" s="96"/>
    </row>
    <row r="197" spans="1:9" x14ac:dyDescent="0.25">
      <c r="A197" s="99"/>
      <c r="B197" s="14" t="s">
        <v>110</v>
      </c>
      <c r="C197" s="9" t="s">
        <v>111</v>
      </c>
      <c r="D197" s="8">
        <v>0.18</v>
      </c>
      <c r="E197" s="17"/>
      <c r="F197" s="17"/>
      <c r="G197" s="17">
        <v>2100</v>
      </c>
      <c r="H197" s="17">
        <f t="shared" si="23"/>
        <v>378</v>
      </c>
      <c r="I197" s="96"/>
    </row>
    <row r="198" spans="1:9" x14ac:dyDescent="0.25">
      <c r="A198" s="99" t="s">
        <v>132</v>
      </c>
      <c r="B198" s="42" t="s">
        <v>74</v>
      </c>
      <c r="C198" s="37" t="s">
        <v>8</v>
      </c>
      <c r="D198" s="146">
        <v>58.25</v>
      </c>
      <c r="E198" s="39">
        <v>40</v>
      </c>
      <c r="F198" s="39">
        <f>D198*E198</f>
        <v>2330</v>
      </c>
      <c r="G198" s="39">
        <f>H198/D198</f>
        <v>19.941472500000003</v>
      </c>
      <c r="H198" s="39">
        <f>SUM(H199:H200)</f>
        <v>1161.5907731250002</v>
      </c>
      <c r="I198" s="100">
        <f>F198+H198</f>
        <v>3491.5907731249999</v>
      </c>
    </row>
    <row r="199" spans="1:9" x14ac:dyDescent="0.25">
      <c r="A199" s="99"/>
      <c r="B199" s="26" t="s">
        <v>52</v>
      </c>
      <c r="C199" s="27" t="s">
        <v>47</v>
      </c>
      <c r="D199" s="16">
        <f>D198*0.15</f>
        <v>8.7374999999999989</v>
      </c>
      <c r="E199" s="10"/>
      <c r="F199" s="10"/>
      <c r="G199" s="16">
        <f>6.605*1.03</f>
        <v>6.8031500000000005</v>
      </c>
      <c r="H199" s="17">
        <f>D199*G199</f>
        <v>59.442523124999994</v>
      </c>
      <c r="I199" s="96"/>
    </row>
    <row r="200" spans="1:9" ht="14.25" customHeight="1" x14ac:dyDescent="0.25">
      <c r="A200" s="99"/>
      <c r="B200" s="14" t="s">
        <v>76</v>
      </c>
      <c r="C200" s="9" t="s">
        <v>47</v>
      </c>
      <c r="D200" s="16">
        <f>D198*0.34</f>
        <v>19.805</v>
      </c>
      <c r="E200" s="10"/>
      <c r="F200" s="10"/>
      <c r="G200" s="16">
        <v>55.650000000000006</v>
      </c>
      <c r="H200" s="17">
        <f>D200*G200</f>
        <v>1102.1482500000002</v>
      </c>
      <c r="I200" s="96"/>
    </row>
    <row r="201" spans="1:9" ht="28.5" x14ac:dyDescent="0.25">
      <c r="A201" s="99" t="s">
        <v>288</v>
      </c>
      <c r="B201" s="42" t="s">
        <v>78</v>
      </c>
      <c r="C201" s="37" t="s">
        <v>12</v>
      </c>
      <c r="D201" s="146">
        <v>72</v>
      </c>
      <c r="E201" s="39">
        <v>20</v>
      </c>
      <c r="F201" s="39">
        <f>D201*E201</f>
        <v>1440</v>
      </c>
      <c r="G201" s="39">
        <f>H201/D201</f>
        <v>9.8910472500000033</v>
      </c>
      <c r="H201" s="39">
        <f>SUM(H202:H205)</f>
        <v>712.15540200000021</v>
      </c>
      <c r="I201" s="100">
        <f>F201+H201</f>
        <v>2152.1554020000003</v>
      </c>
    </row>
    <row r="202" spans="1:9" x14ac:dyDescent="0.25">
      <c r="A202" s="95"/>
      <c r="B202" s="26" t="s">
        <v>52</v>
      </c>
      <c r="C202" s="27" t="s">
        <v>47</v>
      </c>
      <c r="D202" s="16">
        <f>D201*0.15*0.1</f>
        <v>1.0799999999999998</v>
      </c>
      <c r="E202" s="10"/>
      <c r="F202" s="10"/>
      <c r="G202" s="16">
        <f>6.605*1.03</f>
        <v>6.8031500000000005</v>
      </c>
      <c r="H202" s="17">
        <f>D202*G202</f>
        <v>7.3474019999999998</v>
      </c>
      <c r="I202" s="96"/>
    </row>
    <row r="203" spans="1:9" ht="14.25" customHeight="1" x14ac:dyDescent="0.25">
      <c r="A203" s="95"/>
      <c r="B203" s="14" t="s">
        <v>87</v>
      </c>
      <c r="C203" s="9" t="s">
        <v>8</v>
      </c>
      <c r="D203" s="16">
        <f>D201*1.05*0.1</f>
        <v>7.5600000000000014</v>
      </c>
      <c r="E203" s="10"/>
      <c r="F203" s="10"/>
      <c r="G203" s="16">
        <v>74.2</v>
      </c>
      <c r="H203" s="17">
        <f t="shared" ref="H203:H205" si="24">D203*G203</f>
        <v>560.95200000000011</v>
      </c>
      <c r="I203" s="96"/>
    </row>
    <row r="204" spans="1:9" x14ac:dyDescent="0.25">
      <c r="A204" s="95"/>
      <c r="B204" s="26" t="s">
        <v>53</v>
      </c>
      <c r="C204" s="27" t="s">
        <v>47</v>
      </c>
      <c r="D204" s="16">
        <f>D201*6*0.1</f>
        <v>43.2</v>
      </c>
      <c r="E204" s="10"/>
      <c r="F204" s="10"/>
      <c r="G204" s="16">
        <v>1.98</v>
      </c>
      <c r="H204" s="17">
        <f t="shared" si="24"/>
        <v>85.536000000000001</v>
      </c>
      <c r="I204" s="96"/>
    </row>
    <row r="205" spans="1:9" x14ac:dyDescent="0.25">
      <c r="A205" s="95"/>
      <c r="B205" s="26" t="s">
        <v>172</v>
      </c>
      <c r="C205" s="27" t="s">
        <v>47</v>
      </c>
      <c r="D205" s="16">
        <f>D201*0.4*0.1</f>
        <v>2.8800000000000003</v>
      </c>
      <c r="E205" s="10"/>
      <c r="F205" s="10"/>
      <c r="G205" s="16">
        <v>20.25</v>
      </c>
      <c r="H205" s="17">
        <f t="shared" si="24"/>
        <v>58.320000000000007</v>
      </c>
      <c r="I205" s="96"/>
    </row>
    <row r="206" spans="1:9" x14ac:dyDescent="0.25">
      <c r="A206" s="137" t="s">
        <v>138</v>
      </c>
      <c r="B206" s="140" t="s">
        <v>272</v>
      </c>
      <c r="C206" s="136"/>
      <c r="D206" s="12"/>
      <c r="E206" s="13"/>
      <c r="F206" s="13"/>
      <c r="G206" s="13"/>
      <c r="H206" s="13"/>
      <c r="I206" s="104"/>
    </row>
    <row r="207" spans="1:9" x14ac:dyDescent="0.25">
      <c r="A207" s="99" t="s">
        <v>139</v>
      </c>
      <c r="B207" s="42" t="s">
        <v>274</v>
      </c>
      <c r="C207" s="37" t="s">
        <v>8</v>
      </c>
      <c r="D207" s="146">
        <v>341.53</v>
      </c>
      <c r="E207" s="39">
        <v>10</v>
      </c>
      <c r="F207" s="39">
        <f>D207*E207</f>
        <v>3415.2999999999997</v>
      </c>
      <c r="G207" s="39">
        <f>H207/D207</f>
        <v>29.109999999999996</v>
      </c>
      <c r="H207" s="39">
        <f>SUM(H208:H209)</f>
        <v>9941.938299999998</v>
      </c>
      <c r="I207" s="100">
        <f>F207+H207</f>
        <v>13357.238299999997</v>
      </c>
    </row>
    <row r="208" spans="1:9" x14ac:dyDescent="0.25">
      <c r="A208" s="138"/>
      <c r="B208" s="88" t="s">
        <v>273</v>
      </c>
      <c r="C208" s="20" t="s">
        <v>8</v>
      </c>
      <c r="D208" s="67">
        <f>D207*1.1</f>
        <v>375.68299999999999</v>
      </c>
      <c r="E208" s="67"/>
      <c r="F208" s="67"/>
      <c r="G208" s="67">
        <v>8.9</v>
      </c>
      <c r="H208" s="31">
        <f>D208*G208</f>
        <v>3343.5787</v>
      </c>
      <c r="I208" s="139"/>
    </row>
    <row r="209" spans="1:9" x14ac:dyDescent="0.25">
      <c r="A209" s="138"/>
      <c r="B209" s="156" t="s">
        <v>355</v>
      </c>
      <c r="C209" s="20" t="s">
        <v>12</v>
      </c>
      <c r="D209" s="157">
        <f>D207*2.1</f>
        <v>717.21299999999997</v>
      </c>
      <c r="E209" s="67"/>
      <c r="F209" s="67"/>
      <c r="G209" s="157">
        <v>9.1999999999999993</v>
      </c>
      <c r="H209" s="31">
        <f>D209*G209</f>
        <v>6598.3595999999989</v>
      </c>
      <c r="I209" s="139"/>
    </row>
    <row r="210" spans="1:9" x14ac:dyDescent="0.25">
      <c r="A210" s="99" t="s">
        <v>285</v>
      </c>
      <c r="B210" s="42" t="s">
        <v>275</v>
      </c>
      <c r="C210" s="37" t="s">
        <v>8</v>
      </c>
      <c r="D210" s="146">
        <v>341.53</v>
      </c>
      <c r="E210" s="39">
        <v>15</v>
      </c>
      <c r="F210" s="39">
        <f>D210*E210</f>
        <v>5122.95</v>
      </c>
      <c r="G210" s="39">
        <f>H210/D210</f>
        <v>110.25000000000001</v>
      </c>
      <c r="H210" s="39">
        <f>SUM(H211)</f>
        <v>37653.682500000003</v>
      </c>
      <c r="I210" s="100">
        <f>F210+H210</f>
        <v>42776.6325</v>
      </c>
    </row>
    <row r="211" spans="1:9" x14ac:dyDescent="0.25">
      <c r="A211" s="138"/>
      <c r="B211" s="88" t="s">
        <v>276</v>
      </c>
      <c r="C211" s="20" t="s">
        <v>111</v>
      </c>
      <c r="D211" s="67">
        <f>D210*0.05*1.05</f>
        <v>17.930325</v>
      </c>
      <c r="E211" s="67"/>
      <c r="F211" s="67"/>
      <c r="G211" s="67">
        <v>2100</v>
      </c>
      <c r="H211" s="31">
        <f>D211*G211</f>
        <v>37653.682500000003</v>
      </c>
      <c r="I211" s="139"/>
    </row>
    <row r="212" spans="1:9" x14ac:dyDescent="0.25">
      <c r="A212" s="99" t="s">
        <v>286</v>
      </c>
      <c r="B212" s="42" t="s">
        <v>277</v>
      </c>
      <c r="C212" s="37" t="s">
        <v>8</v>
      </c>
      <c r="D212" s="146">
        <v>341.53</v>
      </c>
      <c r="E212" s="39">
        <v>10</v>
      </c>
      <c r="F212" s="39">
        <f>D212*E212</f>
        <v>3415.2999999999997</v>
      </c>
      <c r="G212" s="39">
        <f>H212/D212</f>
        <v>4.4000000000000004</v>
      </c>
      <c r="H212" s="39">
        <f>SUM(H213)</f>
        <v>1502.732</v>
      </c>
      <c r="I212" s="100">
        <f>F212+H212</f>
        <v>4918.0319999999992</v>
      </c>
    </row>
    <row r="213" spans="1:9" x14ac:dyDescent="0.25">
      <c r="A213" s="138"/>
      <c r="B213" s="88" t="s">
        <v>278</v>
      </c>
      <c r="C213" s="20" t="s">
        <v>8</v>
      </c>
      <c r="D213" s="67">
        <f>D212*1.1</f>
        <v>375.68299999999999</v>
      </c>
      <c r="E213" s="67"/>
      <c r="F213" s="67"/>
      <c r="G213" s="67">
        <v>4</v>
      </c>
      <c r="H213" s="31">
        <f>D213*G213</f>
        <v>1502.732</v>
      </c>
      <c r="I213" s="139"/>
    </row>
    <row r="214" spans="1:9" x14ac:dyDescent="0.25">
      <c r="A214" s="99" t="s">
        <v>287</v>
      </c>
      <c r="B214" s="42" t="s">
        <v>117</v>
      </c>
      <c r="C214" s="37" t="s">
        <v>8</v>
      </c>
      <c r="D214" s="146">
        <v>341.53</v>
      </c>
      <c r="E214" s="39">
        <v>60</v>
      </c>
      <c r="F214" s="39">
        <f>D214*E214</f>
        <v>20491.8</v>
      </c>
      <c r="G214" s="39">
        <f>H214/D214</f>
        <v>71.832799999999992</v>
      </c>
      <c r="H214" s="39">
        <f>SUM(H215:H217)</f>
        <v>24533.056183999997</v>
      </c>
      <c r="I214" s="100">
        <f>F214+H214</f>
        <v>45024.856183999997</v>
      </c>
    </row>
    <row r="215" spans="1:9" x14ac:dyDescent="0.25">
      <c r="A215" s="105"/>
      <c r="B215" s="6" t="s">
        <v>393</v>
      </c>
      <c r="C215" s="7" t="s">
        <v>51</v>
      </c>
      <c r="D215" s="8">
        <f>(D214*400*0.06*1.02)/1000</f>
        <v>8.3606543999999996</v>
      </c>
      <c r="E215" s="17"/>
      <c r="F215" s="17"/>
      <c r="G215" s="17">
        <v>1620</v>
      </c>
      <c r="H215" s="17">
        <f>D215*G215</f>
        <v>13544.260128</v>
      </c>
      <c r="I215" s="98"/>
    </row>
    <row r="216" spans="1:9" x14ac:dyDescent="0.25">
      <c r="A216" s="105"/>
      <c r="B216" s="6" t="s">
        <v>86</v>
      </c>
      <c r="C216" s="7" t="s">
        <v>51</v>
      </c>
      <c r="D216" s="8">
        <f>(D214*1940*0.06*1.02)/1000</f>
        <v>40.549173839999995</v>
      </c>
      <c r="E216" s="17"/>
      <c r="F216" s="17"/>
      <c r="G216" s="17">
        <v>150</v>
      </c>
      <c r="H216" s="17">
        <f t="shared" ref="H216:H217" si="25">D216*G216</f>
        <v>6082.3760759999996</v>
      </c>
      <c r="I216" s="98"/>
    </row>
    <row r="217" spans="1:9" x14ac:dyDescent="0.25">
      <c r="A217" s="99"/>
      <c r="B217" s="148" t="s">
        <v>352</v>
      </c>
      <c r="C217" s="9" t="s">
        <v>8</v>
      </c>
      <c r="D217" s="16">
        <f>D214*1.1</f>
        <v>375.68299999999999</v>
      </c>
      <c r="E217" s="16"/>
      <c r="F217" s="16"/>
      <c r="G217" s="152">
        <v>13.06</v>
      </c>
      <c r="H217" s="17">
        <f t="shared" si="25"/>
        <v>4906.4199799999997</v>
      </c>
      <c r="I217" s="96"/>
    </row>
    <row r="218" spans="1:9" x14ac:dyDescent="0.25">
      <c r="A218" s="137" t="s">
        <v>149</v>
      </c>
      <c r="B218" s="140" t="s">
        <v>279</v>
      </c>
      <c r="C218" s="136"/>
      <c r="D218" s="12"/>
      <c r="E218" s="13"/>
      <c r="F218" s="13"/>
      <c r="G218" s="13"/>
      <c r="H218" s="13"/>
      <c r="I218" s="104"/>
    </row>
    <row r="219" spans="1:9" x14ac:dyDescent="0.25">
      <c r="A219" s="99" t="s">
        <v>150</v>
      </c>
      <c r="B219" s="42" t="s">
        <v>99</v>
      </c>
      <c r="C219" s="37" t="s">
        <v>8</v>
      </c>
      <c r="D219" s="146">
        <v>34.090000000000003</v>
      </c>
      <c r="E219" s="34">
        <f>E11</f>
        <v>50</v>
      </c>
      <c r="F219" s="39">
        <f>D219*E219</f>
        <v>1704.5000000000002</v>
      </c>
      <c r="G219" s="39">
        <f>H219/D219</f>
        <v>71.833499999999987</v>
      </c>
      <c r="H219" s="39">
        <f>SUM(H220:H221)</f>
        <v>2448.8040149999997</v>
      </c>
      <c r="I219" s="100">
        <f>F219+H219</f>
        <v>4153.3040149999997</v>
      </c>
    </row>
    <row r="220" spans="1:9" x14ac:dyDescent="0.25">
      <c r="A220" s="105"/>
      <c r="B220" s="6" t="s">
        <v>393</v>
      </c>
      <c r="C220" s="29" t="s">
        <v>51</v>
      </c>
      <c r="D220" s="8">
        <f>(D219*400*0.075*1.02)/1000</f>
        <v>1.0431539999999999</v>
      </c>
      <c r="E220" s="17"/>
      <c r="F220" s="17"/>
      <c r="G220" s="17">
        <v>1620</v>
      </c>
      <c r="H220" s="17">
        <f>D220*G220</f>
        <v>1689.9094799999998</v>
      </c>
      <c r="I220" s="98"/>
    </row>
    <row r="221" spans="1:9" x14ac:dyDescent="0.25">
      <c r="A221" s="107"/>
      <c r="B221" s="6" t="s">
        <v>86</v>
      </c>
      <c r="C221" s="29" t="s">
        <v>51</v>
      </c>
      <c r="D221" s="8">
        <f>(D219*1940*0.075*1.02)/1000</f>
        <v>5.0592969000000005</v>
      </c>
      <c r="E221" s="17"/>
      <c r="F221" s="17"/>
      <c r="G221" s="17">
        <v>150</v>
      </c>
      <c r="H221" s="17">
        <f>D221*G221</f>
        <v>758.89453500000013</v>
      </c>
      <c r="I221" s="98"/>
    </row>
    <row r="222" spans="1:9" ht="28.5" x14ac:dyDescent="0.25">
      <c r="A222" s="99" t="s">
        <v>151</v>
      </c>
      <c r="B222" s="42" t="s">
        <v>103</v>
      </c>
      <c r="C222" s="37" t="s">
        <v>8</v>
      </c>
      <c r="D222" s="146">
        <v>34.090000000000003</v>
      </c>
      <c r="E222" s="39">
        <f>E26</f>
        <v>118</v>
      </c>
      <c r="F222" s="39">
        <f>D222*E222</f>
        <v>4022.6200000000003</v>
      </c>
      <c r="G222" s="39">
        <f>H222/D222</f>
        <v>98.910472499999997</v>
      </c>
      <c r="H222" s="39">
        <f>SUM(H223:H226)</f>
        <v>3371.8580075250002</v>
      </c>
      <c r="I222" s="100">
        <f>F222+H222</f>
        <v>7394.4780075250001</v>
      </c>
    </row>
    <row r="223" spans="1:9" x14ac:dyDescent="0.25">
      <c r="A223" s="99"/>
      <c r="B223" s="26" t="s">
        <v>52</v>
      </c>
      <c r="C223" s="27" t="s">
        <v>47</v>
      </c>
      <c r="D223" s="16">
        <f>D222*0.15</f>
        <v>5.1135000000000002</v>
      </c>
      <c r="E223" s="39"/>
      <c r="F223" s="39"/>
      <c r="G223" s="16">
        <f>6.605*1.03</f>
        <v>6.8031500000000005</v>
      </c>
      <c r="H223" s="17">
        <f>D223*G223</f>
        <v>34.787907525000001</v>
      </c>
      <c r="I223" s="96"/>
    </row>
    <row r="224" spans="1:9" x14ac:dyDescent="0.25">
      <c r="A224" s="99"/>
      <c r="B224" s="14" t="s">
        <v>87</v>
      </c>
      <c r="C224" s="9" t="s">
        <v>8</v>
      </c>
      <c r="D224" s="16">
        <f>D222*1.05</f>
        <v>35.794500000000006</v>
      </c>
      <c r="E224" s="39"/>
      <c r="F224" s="39"/>
      <c r="G224" s="16">
        <v>74.2</v>
      </c>
      <c r="H224" s="17">
        <f t="shared" ref="H224:H226" si="26">D224*G224</f>
        <v>2655.9519000000005</v>
      </c>
      <c r="I224" s="96"/>
    </row>
    <row r="225" spans="1:9" x14ac:dyDescent="0.25">
      <c r="A225" s="99"/>
      <c r="B225" s="26" t="s">
        <v>53</v>
      </c>
      <c r="C225" s="27" t="s">
        <v>47</v>
      </c>
      <c r="D225" s="16">
        <f>D222*6</f>
        <v>204.54000000000002</v>
      </c>
      <c r="E225" s="39"/>
      <c r="F225" s="39"/>
      <c r="G225" s="16">
        <v>1.98</v>
      </c>
      <c r="H225" s="17">
        <f t="shared" si="26"/>
        <v>404.98920000000004</v>
      </c>
      <c r="I225" s="96"/>
    </row>
    <row r="226" spans="1:9" x14ac:dyDescent="0.25">
      <c r="A226" s="99"/>
      <c r="B226" s="26" t="s">
        <v>172</v>
      </c>
      <c r="C226" s="27" t="s">
        <v>47</v>
      </c>
      <c r="D226" s="16">
        <f>D222*0.4</f>
        <v>13.636000000000003</v>
      </c>
      <c r="E226" s="39"/>
      <c r="F226" s="39"/>
      <c r="G226" s="16">
        <v>20.25</v>
      </c>
      <c r="H226" s="17">
        <f t="shared" si="26"/>
        <v>276.12900000000008</v>
      </c>
      <c r="I226" s="96"/>
    </row>
    <row r="227" spans="1:9" ht="28.5" x14ac:dyDescent="0.25">
      <c r="A227" s="99" t="s">
        <v>152</v>
      </c>
      <c r="B227" s="42" t="s">
        <v>78</v>
      </c>
      <c r="C227" s="37" t="s">
        <v>12</v>
      </c>
      <c r="D227" s="146">
        <v>61.6</v>
      </c>
      <c r="E227" s="39">
        <v>20</v>
      </c>
      <c r="F227" s="39">
        <f>D227*E227</f>
        <v>1232</v>
      </c>
      <c r="G227" s="39">
        <f>H227/D227</f>
        <v>9.8910472499999997</v>
      </c>
      <c r="H227" s="39">
        <f>SUM(H228:H231)</f>
        <v>609.2885106</v>
      </c>
      <c r="I227" s="100">
        <f>F227+H227</f>
        <v>1841.2885105999999</v>
      </c>
    </row>
    <row r="228" spans="1:9" x14ac:dyDescent="0.25">
      <c r="A228" s="95"/>
      <c r="B228" s="26" t="s">
        <v>52</v>
      </c>
      <c r="C228" s="27" t="s">
        <v>47</v>
      </c>
      <c r="D228" s="16">
        <f>D227*0.15*0.1</f>
        <v>0.92400000000000004</v>
      </c>
      <c r="E228" s="10"/>
      <c r="F228" s="10"/>
      <c r="G228" s="16">
        <f>6.605*1.03</f>
        <v>6.8031500000000005</v>
      </c>
      <c r="H228" s="17">
        <f>D228*G228</f>
        <v>6.2861106000000007</v>
      </c>
      <c r="I228" s="96"/>
    </row>
    <row r="229" spans="1:9" x14ac:dyDescent="0.25">
      <c r="A229" s="95"/>
      <c r="B229" s="14" t="s">
        <v>87</v>
      </c>
      <c r="C229" s="9" t="s">
        <v>8</v>
      </c>
      <c r="D229" s="16">
        <f>D227*1.05*0.1</f>
        <v>6.4680000000000009</v>
      </c>
      <c r="E229" s="10"/>
      <c r="F229" s="10"/>
      <c r="G229" s="16">
        <v>74.2</v>
      </c>
      <c r="H229" s="17">
        <f t="shared" ref="H229:H231" si="27">D229*G229</f>
        <v>479.92560000000009</v>
      </c>
      <c r="I229" s="96"/>
    </row>
    <row r="230" spans="1:9" x14ac:dyDescent="0.25">
      <c r="A230" s="95"/>
      <c r="B230" s="26" t="s">
        <v>53</v>
      </c>
      <c r="C230" s="27" t="s">
        <v>47</v>
      </c>
      <c r="D230" s="16">
        <f>D227*6*0.1</f>
        <v>36.96</v>
      </c>
      <c r="E230" s="10"/>
      <c r="F230" s="10"/>
      <c r="G230" s="16">
        <v>1.98</v>
      </c>
      <c r="H230" s="17">
        <f t="shared" si="27"/>
        <v>73.180800000000005</v>
      </c>
      <c r="I230" s="96"/>
    </row>
    <row r="231" spans="1:9" x14ac:dyDescent="0.25">
      <c r="A231" s="95"/>
      <c r="B231" s="26" t="s">
        <v>172</v>
      </c>
      <c r="C231" s="27" t="s">
        <v>47</v>
      </c>
      <c r="D231" s="16">
        <f>D227*0.4*0.1</f>
        <v>2.4640000000000004</v>
      </c>
      <c r="E231" s="10"/>
      <c r="F231" s="10"/>
      <c r="G231" s="16">
        <v>20.25</v>
      </c>
      <c r="H231" s="17">
        <f t="shared" si="27"/>
        <v>49.896000000000008</v>
      </c>
      <c r="I231" s="96"/>
    </row>
    <row r="232" spans="1:9" ht="30" x14ac:dyDescent="0.25">
      <c r="A232" s="137" t="s">
        <v>153</v>
      </c>
      <c r="B232" s="140" t="s">
        <v>280</v>
      </c>
      <c r="C232" s="136"/>
      <c r="D232" s="12"/>
      <c r="E232" s="13"/>
      <c r="F232" s="13"/>
      <c r="G232" s="13"/>
      <c r="H232" s="13"/>
      <c r="I232" s="104"/>
    </row>
    <row r="233" spans="1:9" x14ac:dyDescent="0.25">
      <c r="A233" s="99" t="s">
        <v>154</v>
      </c>
      <c r="B233" s="42" t="s">
        <v>274</v>
      </c>
      <c r="C233" s="37" t="s">
        <v>8</v>
      </c>
      <c r="D233" s="39">
        <v>182.02</v>
      </c>
      <c r="E233" s="39">
        <v>10</v>
      </c>
      <c r="F233" s="39">
        <f>D233*E233</f>
        <v>1820.2</v>
      </c>
      <c r="G233" s="39">
        <f>H233/D233</f>
        <v>29.11</v>
      </c>
      <c r="H233" s="39">
        <f>SUM(H234:H235)</f>
        <v>5298.6022000000003</v>
      </c>
      <c r="I233" s="100">
        <f>F233+H233</f>
        <v>7118.8022000000001</v>
      </c>
    </row>
    <row r="234" spans="1:9" x14ac:dyDescent="0.25">
      <c r="A234" s="138"/>
      <c r="B234" s="88" t="s">
        <v>273</v>
      </c>
      <c r="C234" s="20" t="s">
        <v>8</v>
      </c>
      <c r="D234" s="67">
        <f>D233*1.1</f>
        <v>200.22200000000004</v>
      </c>
      <c r="E234" s="67"/>
      <c r="F234" s="67"/>
      <c r="G234" s="67">
        <v>8.9</v>
      </c>
      <c r="H234" s="31">
        <f>D234*G234</f>
        <v>1781.9758000000004</v>
      </c>
      <c r="I234" s="139"/>
    </row>
    <row r="235" spans="1:9" x14ac:dyDescent="0.25">
      <c r="A235" s="138"/>
      <c r="B235" s="156" t="s">
        <v>355</v>
      </c>
      <c r="C235" s="20" t="s">
        <v>12</v>
      </c>
      <c r="D235" s="157">
        <f>D233*2.1</f>
        <v>382.24200000000002</v>
      </c>
      <c r="E235" s="67"/>
      <c r="F235" s="67"/>
      <c r="G235" s="157">
        <v>9.1999999999999993</v>
      </c>
      <c r="H235" s="31">
        <f>D235*G235</f>
        <v>3516.6264000000001</v>
      </c>
      <c r="I235" s="139"/>
    </row>
    <row r="236" spans="1:9" x14ac:dyDescent="0.25">
      <c r="A236" s="99" t="s">
        <v>155</v>
      </c>
      <c r="B236" s="42" t="s">
        <v>349</v>
      </c>
      <c r="C236" s="37" t="s">
        <v>8</v>
      </c>
      <c r="D236" s="39">
        <v>182.02</v>
      </c>
      <c r="E236" s="39">
        <v>15</v>
      </c>
      <c r="F236" s="39">
        <f>D236*E236</f>
        <v>2730.3</v>
      </c>
      <c r="G236" s="39">
        <f>H236/D236</f>
        <v>110.25</v>
      </c>
      <c r="H236" s="39">
        <f>SUM(H237)</f>
        <v>20067.705000000002</v>
      </c>
      <c r="I236" s="100">
        <f>F236+H236</f>
        <v>22798.005000000001</v>
      </c>
    </row>
    <row r="237" spans="1:9" x14ac:dyDescent="0.25">
      <c r="A237" s="138"/>
      <c r="B237" s="88" t="s">
        <v>276</v>
      </c>
      <c r="C237" s="20" t="s">
        <v>111</v>
      </c>
      <c r="D237" s="67">
        <f>D236*0.05*1.05</f>
        <v>9.5560500000000008</v>
      </c>
      <c r="E237" s="67"/>
      <c r="F237" s="67"/>
      <c r="G237" s="67">
        <v>2100</v>
      </c>
      <c r="H237" s="31">
        <f>D237*G237</f>
        <v>20067.705000000002</v>
      </c>
      <c r="I237" s="139"/>
    </row>
    <row r="238" spans="1:9" x14ac:dyDescent="0.25">
      <c r="A238" s="99" t="s">
        <v>157</v>
      </c>
      <c r="B238" s="42" t="s">
        <v>277</v>
      </c>
      <c r="C238" s="37" t="s">
        <v>8</v>
      </c>
      <c r="D238" s="39">
        <v>182.02</v>
      </c>
      <c r="E238" s="39">
        <v>10</v>
      </c>
      <c r="F238" s="39">
        <f>D238*E238</f>
        <v>1820.2</v>
      </c>
      <c r="G238" s="39">
        <f>H238/D238</f>
        <v>4.4000000000000004</v>
      </c>
      <c r="H238" s="39">
        <f>SUM(H239)</f>
        <v>800.88800000000015</v>
      </c>
      <c r="I238" s="100">
        <f>F238+H238</f>
        <v>2621.0880000000002</v>
      </c>
    </row>
    <row r="239" spans="1:9" x14ac:dyDescent="0.25">
      <c r="A239" s="138"/>
      <c r="B239" s="88" t="s">
        <v>278</v>
      </c>
      <c r="C239" s="20" t="s">
        <v>8</v>
      </c>
      <c r="D239" s="67">
        <f>D238*1.1</f>
        <v>200.22200000000004</v>
      </c>
      <c r="E239" s="67"/>
      <c r="F239" s="67"/>
      <c r="G239" s="67">
        <v>4</v>
      </c>
      <c r="H239" s="31">
        <f>D239*G239</f>
        <v>800.88800000000015</v>
      </c>
      <c r="I239" s="139"/>
    </row>
    <row r="240" spans="1:9" x14ac:dyDescent="0.25">
      <c r="A240" s="99" t="s">
        <v>156</v>
      </c>
      <c r="B240" s="42" t="s">
        <v>117</v>
      </c>
      <c r="C240" s="37" t="s">
        <v>8</v>
      </c>
      <c r="D240" s="39">
        <v>182.02</v>
      </c>
      <c r="E240" s="39">
        <v>60</v>
      </c>
      <c r="F240" s="39">
        <f>D240*E240</f>
        <v>10921.2</v>
      </c>
      <c r="G240" s="39">
        <f>H240/D240</f>
        <v>71.832800000000006</v>
      </c>
      <c r="H240" s="39">
        <f>SUM(H241:H243)</f>
        <v>13075.006256000001</v>
      </c>
      <c r="I240" s="100">
        <f>F240+H240</f>
        <v>23996.206256000001</v>
      </c>
    </row>
    <row r="241" spans="1:9" x14ac:dyDescent="0.25">
      <c r="A241" s="105"/>
      <c r="B241" s="6" t="s">
        <v>393</v>
      </c>
      <c r="C241" s="7" t="s">
        <v>51</v>
      </c>
      <c r="D241" s="8">
        <f>(D240*400*0.06*1.02)/1000</f>
        <v>4.4558495999999996</v>
      </c>
      <c r="E241" s="17"/>
      <c r="F241" s="17"/>
      <c r="G241" s="17">
        <v>1620</v>
      </c>
      <c r="H241" s="17">
        <f>D241*G241</f>
        <v>7218.4763519999997</v>
      </c>
      <c r="I241" s="98"/>
    </row>
    <row r="242" spans="1:9" x14ac:dyDescent="0.25">
      <c r="A242" s="105"/>
      <c r="B242" s="6" t="s">
        <v>86</v>
      </c>
      <c r="C242" s="7" t="s">
        <v>51</v>
      </c>
      <c r="D242" s="8">
        <f>(D240*1940*0.06*1.02)/1000</f>
        <v>21.610870559999999</v>
      </c>
      <c r="E242" s="17"/>
      <c r="F242" s="17"/>
      <c r="G242" s="17">
        <v>150</v>
      </c>
      <c r="H242" s="17">
        <f t="shared" ref="H242:H243" si="28">D242*G242</f>
        <v>3241.630584</v>
      </c>
      <c r="I242" s="98"/>
    </row>
    <row r="243" spans="1:9" x14ac:dyDescent="0.25">
      <c r="A243" s="99"/>
      <c r="B243" s="148" t="s">
        <v>352</v>
      </c>
      <c r="C243" s="9" t="s">
        <v>8</v>
      </c>
      <c r="D243" s="16">
        <f>D240*1.1</f>
        <v>200.22200000000004</v>
      </c>
      <c r="E243" s="16"/>
      <c r="F243" s="16"/>
      <c r="G243" s="152">
        <v>13.06</v>
      </c>
      <c r="H243" s="17">
        <f t="shared" si="28"/>
        <v>2614.8993200000004</v>
      </c>
      <c r="I243" s="96"/>
    </row>
    <row r="244" spans="1:9" ht="28.5" x14ac:dyDescent="0.25">
      <c r="A244" s="99" t="s">
        <v>289</v>
      </c>
      <c r="B244" s="42" t="s">
        <v>103</v>
      </c>
      <c r="C244" s="37" t="s">
        <v>8</v>
      </c>
      <c r="D244" s="39">
        <v>182.02</v>
      </c>
      <c r="E244" s="39">
        <f>E26</f>
        <v>118</v>
      </c>
      <c r="F244" s="39">
        <f>D244*E244</f>
        <v>21478.36</v>
      </c>
      <c r="G244" s="39">
        <f>H244/D244</f>
        <v>98.910472499999997</v>
      </c>
      <c r="H244" s="39">
        <f>SUM(H245:H248)</f>
        <v>18003.684204450001</v>
      </c>
      <c r="I244" s="100">
        <f>F244+H244</f>
        <v>39482.044204450001</v>
      </c>
    </row>
    <row r="245" spans="1:9" x14ac:dyDescent="0.25">
      <c r="A245" s="99"/>
      <c r="B245" s="26" t="s">
        <v>52</v>
      </c>
      <c r="C245" s="27" t="s">
        <v>47</v>
      </c>
      <c r="D245" s="16">
        <f>D244*0.15</f>
        <v>27.303000000000001</v>
      </c>
      <c r="E245" s="39"/>
      <c r="F245" s="39"/>
      <c r="G245" s="16">
        <f>6.605*1.03</f>
        <v>6.8031500000000005</v>
      </c>
      <c r="H245" s="17">
        <f>D245*G245</f>
        <v>185.74640445000003</v>
      </c>
      <c r="I245" s="96"/>
    </row>
    <row r="246" spans="1:9" x14ac:dyDescent="0.25">
      <c r="A246" s="99"/>
      <c r="B246" s="14" t="s">
        <v>87</v>
      </c>
      <c r="C246" s="9" t="s">
        <v>8</v>
      </c>
      <c r="D246" s="16">
        <f>D244*1.05</f>
        <v>191.12100000000001</v>
      </c>
      <c r="E246" s="39"/>
      <c r="F246" s="39"/>
      <c r="G246" s="16">
        <v>74.2</v>
      </c>
      <c r="H246" s="17">
        <f t="shared" ref="H246:H248" si="29">D246*G246</f>
        <v>14181.178200000002</v>
      </c>
      <c r="I246" s="96"/>
    </row>
    <row r="247" spans="1:9" x14ac:dyDescent="0.25">
      <c r="A247" s="99"/>
      <c r="B247" s="26" t="s">
        <v>53</v>
      </c>
      <c r="C247" s="27" t="s">
        <v>47</v>
      </c>
      <c r="D247" s="16">
        <f>D244*6</f>
        <v>1092.1200000000001</v>
      </c>
      <c r="E247" s="39"/>
      <c r="F247" s="39"/>
      <c r="G247" s="16">
        <v>1.98</v>
      </c>
      <c r="H247" s="17">
        <f t="shared" si="29"/>
        <v>2162.3976000000002</v>
      </c>
      <c r="I247" s="96"/>
    </row>
    <row r="248" spans="1:9" x14ac:dyDescent="0.25">
      <c r="A248" s="99"/>
      <c r="B248" s="26" t="s">
        <v>172</v>
      </c>
      <c r="C248" s="27" t="s">
        <v>47</v>
      </c>
      <c r="D248" s="16">
        <f>D244*0.4</f>
        <v>72.808000000000007</v>
      </c>
      <c r="E248" s="39"/>
      <c r="F248" s="39"/>
      <c r="G248" s="16">
        <v>20.25</v>
      </c>
      <c r="H248" s="17">
        <f t="shared" si="29"/>
        <v>1474.3620000000001</v>
      </c>
      <c r="I248" s="96"/>
    </row>
    <row r="249" spans="1:9" ht="28.5" x14ac:dyDescent="0.25">
      <c r="A249" s="99" t="s">
        <v>290</v>
      </c>
      <c r="B249" s="42" t="s">
        <v>78</v>
      </c>
      <c r="C249" s="37" t="s">
        <v>12</v>
      </c>
      <c r="D249" s="146">
        <v>200</v>
      </c>
      <c r="E249" s="39">
        <v>20</v>
      </c>
      <c r="F249" s="39">
        <f>D249*E249</f>
        <v>4000</v>
      </c>
      <c r="G249" s="39">
        <f>H249/D249</f>
        <v>9.8910472499999997</v>
      </c>
      <c r="H249" s="39">
        <f>SUM(H250:H253)</f>
        <v>1978.2094500000001</v>
      </c>
      <c r="I249" s="100">
        <f>F249+H249</f>
        <v>5978.2094500000003</v>
      </c>
    </row>
    <row r="250" spans="1:9" x14ac:dyDescent="0.25">
      <c r="A250" s="95"/>
      <c r="B250" s="26" t="s">
        <v>52</v>
      </c>
      <c r="C250" s="27" t="s">
        <v>47</v>
      </c>
      <c r="D250" s="16">
        <f>D249*0.15*0.1</f>
        <v>3</v>
      </c>
      <c r="E250" s="10"/>
      <c r="F250" s="10"/>
      <c r="G250" s="16">
        <f>6.605*1.03</f>
        <v>6.8031500000000005</v>
      </c>
      <c r="H250" s="17">
        <f>D250*G250</f>
        <v>20.40945</v>
      </c>
      <c r="I250" s="96"/>
    </row>
    <row r="251" spans="1:9" x14ac:dyDescent="0.25">
      <c r="A251" s="95"/>
      <c r="B251" s="14" t="s">
        <v>87</v>
      </c>
      <c r="C251" s="9" t="s">
        <v>8</v>
      </c>
      <c r="D251" s="16">
        <f>D249*1.05*0.1</f>
        <v>21</v>
      </c>
      <c r="E251" s="10"/>
      <c r="F251" s="10"/>
      <c r="G251" s="16">
        <v>74.2</v>
      </c>
      <c r="H251" s="17">
        <f t="shared" ref="H251:H253" si="30">D251*G251</f>
        <v>1558.2</v>
      </c>
      <c r="I251" s="96"/>
    </row>
    <row r="252" spans="1:9" x14ac:dyDescent="0.25">
      <c r="A252" s="95"/>
      <c r="B252" s="26" t="s">
        <v>53</v>
      </c>
      <c r="C252" s="27" t="s">
        <v>47</v>
      </c>
      <c r="D252" s="16">
        <f>D249*6*0.1</f>
        <v>120</v>
      </c>
      <c r="E252" s="10"/>
      <c r="F252" s="10"/>
      <c r="G252" s="16">
        <v>1.98</v>
      </c>
      <c r="H252" s="17">
        <f t="shared" si="30"/>
        <v>237.6</v>
      </c>
      <c r="I252" s="96"/>
    </row>
    <row r="253" spans="1:9" x14ac:dyDescent="0.25">
      <c r="A253" s="95"/>
      <c r="B253" s="26" t="s">
        <v>172</v>
      </c>
      <c r="C253" s="27" t="s">
        <v>47</v>
      </c>
      <c r="D253" s="16">
        <f>D249*0.4*0.1</f>
        <v>8</v>
      </c>
      <c r="E253" s="10"/>
      <c r="F253" s="10"/>
      <c r="G253" s="16">
        <v>20.25</v>
      </c>
      <c r="H253" s="17">
        <f t="shared" si="30"/>
        <v>162</v>
      </c>
      <c r="I253" s="96"/>
    </row>
    <row r="254" spans="1:9" ht="13.5" customHeight="1" x14ac:dyDescent="0.25">
      <c r="A254" s="137" t="s">
        <v>158</v>
      </c>
      <c r="B254" s="140" t="s">
        <v>281</v>
      </c>
      <c r="C254" s="136"/>
      <c r="D254" s="12"/>
      <c r="E254" s="13"/>
      <c r="F254" s="13"/>
      <c r="G254" s="13"/>
      <c r="H254" s="13"/>
      <c r="I254" s="104"/>
    </row>
    <row r="255" spans="1:9" x14ac:dyDescent="0.25">
      <c r="A255" s="99" t="s">
        <v>159</v>
      </c>
      <c r="B255" s="42" t="s">
        <v>99</v>
      </c>
      <c r="C255" s="37" t="s">
        <v>8</v>
      </c>
      <c r="D255" s="146">
        <v>71.86</v>
      </c>
      <c r="E255" s="34">
        <f>E11</f>
        <v>50</v>
      </c>
      <c r="F255" s="39">
        <f>D255*E255</f>
        <v>3593</v>
      </c>
      <c r="G255" s="39">
        <f>H255/D255</f>
        <v>71.833499999999987</v>
      </c>
      <c r="H255" s="39">
        <f>SUM(H256:H257)</f>
        <v>5161.9553099999994</v>
      </c>
      <c r="I255" s="100">
        <f>F255+H255</f>
        <v>8754.9553099999994</v>
      </c>
    </row>
    <row r="256" spans="1:9" x14ac:dyDescent="0.25">
      <c r="A256" s="105"/>
      <c r="B256" s="6" t="s">
        <v>393</v>
      </c>
      <c r="C256" s="29" t="s">
        <v>51</v>
      </c>
      <c r="D256" s="8">
        <f>(D255*400*0.075*1.02)/1000</f>
        <v>2.1989159999999996</v>
      </c>
      <c r="E256" s="17"/>
      <c r="F256" s="17"/>
      <c r="G256" s="17">
        <v>1620</v>
      </c>
      <c r="H256" s="17">
        <f>D256*G256</f>
        <v>3562.2439199999994</v>
      </c>
      <c r="I256" s="98"/>
    </row>
    <row r="257" spans="1:9" x14ac:dyDescent="0.25">
      <c r="A257" s="107"/>
      <c r="B257" s="6" t="s">
        <v>86</v>
      </c>
      <c r="C257" s="29" t="s">
        <v>51</v>
      </c>
      <c r="D257" s="8">
        <f>(D255*1940*0.075*1.02)/1000</f>
        <v>10.6647426</v>
      </c>
      <c r="E257" s="17"/>
      <c r="F257" s="17"/>
      <c r="G257" s="17">
        <v>150</v>
      </c>
      <c r="H257" s="17">
        <f>D257*G257</f>
        <v>1599.7113899999999</v>
      </c>
      <c r="I257" s="98"/>
    </row>
    <row r="258" spans="1:9" ht="28.5" x14ac:dyDescent="0.25">
      <c r="A258" s="99" t="s">
        <v>291</v>
      </c>
      <c r="B258" s="42" t="s">
        <v>103</v>
      </c>
      <c r="C258" s="37" t="s">
        <v>8</v>
      </c>
      <c r="D258" s="146">
        <v>71.86</v>
      </c>
      <c r="E258" s="39">
        <f>E26</f>
        <v>118</v>
      </c>
      <c r="F258" s="39">
        <f>D258*E258</f>
        <v>8479.48</v>
      </c>
      <c r="G258" s="39">
        <f>H258/D258</f>
        <v>98.910472499999997</v>
      </c>
      <c r="H258" s="39">
        <f>SUM(H259:H262)</f>
        <v>7107.7065538500001</v>
      </c>
      <c r="I258" s="100">
        <f>F258+H258</f>
        <v>15587.186553849999</v>
      </c>
    </row>
    <row r="259" spans="1:9" x14ac:dyDescent="0.25">
      <c r="A259" s="99"/>
      <c r="B259" s="26" t="s">
        <v>52</v>
      </c>
      <c r="C259" s="27" t="s">
        <v>47</v>
      </c>
      <c r="D259" s="16">
        <f>D258*0.15</f>
        <v>10.779</v>
      </c>
      <c r="E259" s="39"/>
      <c r="F259" s="39"/>
      <c r="G259" s="16">
        <f>6.605*1.03</f>
        <v>6.8031500000000005</v>
      </c>
      <c r="H259" s="17">
        <f>D259*G259</f>
        <v>73.331153850000007</v>
      </c>
      <c r="I259" s="96"/>
    </row>
    <row r="260" spans="1:9" x14ac:dyDescent="0.25">
      <c r="A260" s="99"/>
      <c r="B260" s="14" t="s">
        <v>87</v>
      </c>
      <c r="C260" s="9" t="s">
        <v>8</v>
      </c>
      <c r="D260" s="16">
        <f>D258*1.05</f>
        <v>75.453000000000003</v>
      </c>
      <c r="E260" s="39"/>
      <c r="F260" s="39"/>
      <c r="G260" s="16">
        <v>74.2</v>
      </c>
      <c r="H260" s="17">
        <f t="shared" ref="H260:H262" si="31">D260*G260</f>
        <v>5598.6126000000004</v>
      </c>
      <c r="I260" s="96"/>
    </row>
    <row r="261" spans="1:9" x14ac:dyDescent="0.25">
      <c r="A261" s="99"/>
      <c r="B261" s="26" t="s">
        <v>53</v>
      </c>
      <c r="C261" s="27" t="s">
        <v>47</v>
      </c>
      <c r="D261" s="16">
        <f>D258*6</f>
        <v>431.15999999999997</v>
      </c>
      <c r="E261" s="39"/>
      <c r="F261" s="39"/>
      <c r="G261" s="16">
        <v>1.98</v>
      </c>
      <c r="H261" s="17">
        <f t="shared" si="31"/>
        <v>853.69679999999994</v>
      </c>
      <c r="I261" s="96"/>
    </row>
    <row r="262" spans="1:9" x14ac:dyDescent="0.25">
      <c r="A262" s="99"/>
      <c r="B262" s="26" t="s">
        <v>172</v>
      </c>
      <c r="C262" s="27" t="s">
        <v>47</v>
      </c>
      <c r="D262" s="16">
        <f>D258*0.4</f>
        <v>28.744</v>
      </c>
      <c r="E262" s="39"/>
      <c r="F262" s="39"/>
      <c r="G262" s="16">
        <v>20.25</v>
      </c>
      <c r="H262" s="17">
        <f t="shared" si="31"/>
        <v>582.06600000000003</v>
      </c>
      <c r="I262" s="96"/>
    </row>
    <row r="263" spans="1:9" ht="28.5" x14ac:dyDescent="0.25">
      <c r="A263" s="99" t="s">
        <v>292</v>
      </c>
      <c r="B263" s="42" t="s">
        <v>78</v>
      </c>
      <c r="C263" s="37" t="s">
        <v>12</v>
      </c>
      <c r="D263" s="146">
        <v>81.2</v>
      </c>
      <c r="E263" s="39">
        <v>20</v>
      </c>
      <c r="F263" s="39">
        <f>D263*E263</f>
        <v>1624</v>
      </c>
      <c r="G263" s="39">
        <f>H263/D263</f>
        <v>9.8910472500000033</v>
      </c>
      <c r="H263" s="39">
        <f>SUM(H264:H267)</f>
        <v>803.15303670000026</v>
      </c>
      <c r="I263" s="100">
        <f>F263+H263</f>
        <v>2427.1530367000005</v>
      </c>
    </row>
    <row r="264" spans="1:9" x14ac:dyDescent="0.25">
      <c r="A264" s="95"/>
      <c r="B264" s="26" t="s">
        <v>52</v>
      </c>
      <c r="C264" s="27" t="s">
        <v>47</v>
      </c>
      <c r="D264" s="16">
        <f>D263*0.15*0.1</f>
        <v>1.218</v>
      </c>
      <c r="E264" s="10"/>
      <c r="F264" s="10"/>
      <c r="G264" s="16">
        <f>6.605*1.03</f>
        <v>6.8031500000000005</v>
      </c>
      <c r="H264" s="17">
        <f>D264*G264</f>
        <v>8.2862366999999999</v>
      </c>
      <c r="I264" s="96"/>
    </row>
    <row r="265" spans="1:9" x14ac:dyDescent="0.25">
      <c r="A265" s="95"/>
      <c r="B265" s="14" t="s">
        <v>87</v>
      </c>
      <c r="C265" s="9" t="s">
        <v>8</v>
      </c>
      <c r="D265" s="16">
        <f>D263*1.05*0.1</f>
        <v>8.5260000000000016</v>
      </c>
      <c r="E265" s="10"/>
      <c r="F265" s="10"/>
      <c r="G265" s="16">
        <v>74.2</v>
      </c>
      <c r="H265" s="17">
        <f t="shared" ref="H265:H267" si="32">D265*G265</f>
        <v>632.6292000000002</v>
      </c>
      <c r="I265" s="96"/>
    </row>
    <row r="266" spans="1:9" x14ac:dyDescent="0.25">
      <c r="A266" s="95"/>
      <c r="B266" s="26" t="s">
        <v>53</v>
      </c>
      <c r="C266" s="27" t="s">
        <v>47</v>
      </c>
      <c r="D266" s="16">
        <f>D263*6*0.1</f>
        <v>48.720000000000006</v>
      </c>
      <c r="E266" s="10"/>
      <c r="F266" s="10"/>
      <c r="G266" s="16">
        <v>1.98</v>
      </c>
      <c r="H266" s="17">
        <f t="shared" si="32"/>
        <v>96.465600000000009</v>
      </c>
      <c r="I266" s="96"/>
    </row>
    <row r="267" spans="1:9" x14ac:dyDescent="0.25">
      <c r="A267" s="95"/>
      <c r="B267" s="26" t="s">
        <v>172</v>
      </c>
      <c r="C267" s="27" t="s">
        <v>47</v>
      </c>
      <c r="D267" s="16">
        <f>D263*0.4*0.1</f>
        <v>3.2480000000000007</v>
      </c>
      <c r="E267" s="10"/>
      <c r="F267" s="10"/>
      <c r="G267" s="16">
        <v>20.25</v>
      </c>
      <c r="H267" s="17">
        <f t="shared" si="32"/>
        <v>65.77200000000002</v>
      </c>
      <c r="I267" s="96"/>
    </row>
    <row r="268" spans="1:9" x14ac:dyDescent="0.25">
      <c r="A268" s="137" t="s">
        <v>168</v>
      </c>
      <c r="B268" s="140" t="s">
        <v>284</v>
      </c>
      <c r="C268" s="136"/>
      <c r="D268" s="12"/>
      <c r="E268" s="13"/>
      <c r="F268" s="13"/>
      <c r="G268" s="13"/>
      <c r="H268" s="13"/>
      <c r="I268" s="104"/>
    </row>
    <row r="269" spans="1:9" x14ac:dyDescent="0.25">
      <c r="A269" s="99" t="s">
        <v>169</v>
      </c>
      <c r="B269" s="42" t="s">
        <v>356</v>
      </c>
      <c r="C269" s="37" t="s">
        <v>8</v>
      </c>
      <c r="D269" s="39">
        <v>41.58</v>
      </c>
      <c r="E269" s="39">
        <v>60</v>
      </c>
      <c r="F269" s="39">
        <f>D269*E269</f>
        <v>2494.7999999999997</v>
      </c>
      <c r="G269" s="39">
        <f>H269/D269</f>
        <v>57.466799999999992</v>
      </c>
      <c r="H269" s="39">
        <f>SUM(H270:H271)</f>
        <v>2389.4695439999996</v>
      </c>
      <c r="I269" s="100">
        <f>F269+H269</f>
        <v>4884.2695439999989</v>
      </c>
    </row>
    <row r="270" spans="1:9" x14ac:dyDescent="0.25">
      <c r="A270" s="105"/>
      <c r="B270" s="6" t="s">
        <v>393</v>
      </c>
      <c r="C270" s="7" t="s">
        <v>51</v>
      </c>
      <c r="D270" s="8">
        <f>(D269*400*0.06*1.02)/1000</f>
        <v>1.0178783999999998</v>
      </c>
      <c r="E270" s="17"/>
      <c r="F270" s="17"/>
      <c r="G270" s="17">
        <v>1620</v>
      </c>
      <c r="H270" s="17">
        <f>D270*G270</f>
        <v>1648.9630079999997</v>
      </c>
      <c r="I270" s="98"/>
    </row>
    <row r="271" spans="1:9" x14ac:dyDescent="0.25">
      <c r="A271" s="105"/>
      <c r="B271" s="6" t="s">
        <v>86</v>
      </c>
      <c r="C271" s="7" t="s">
        <v>51</v>
      </c>
      <c r="D271" s="8">
        <f>(D269*1940*0.06*1.02)/1000</f>
        <v>4.9367102399999991</v>
      </c>
      <c r="E271" s="17"/>
      <c r="F271" s="17"/>
      <c r="G271" s="17">
        <v>150</v>
      </c>
      <c r="H271" s="17">
        <f>D271*G271</f>
        <v>740.50653599999987</v>
      </c>
      <c r="I271" s="98"/>
    </row>
    <row r="272" spans="1:9" ht="28.5" x14ac:dyDescent="0.25">
      <c r="A272" s="99" t="s">
        <v>170</v>
      </c>
      <c r="B272" s="42" t="s">
        <v>103</v>
      </c>
      <c r="C272" s="37" t="s">
        <v>8</v>
      </c>
      <c r="D272" s="39">
        <v>41.58</v>
      </c>
      <c r="E272" s="39">
        <f>E26</f>
        <v>118</v>
      </c>
      <c r="F272" s="39">
        <f>D272*E272</f>
        <v>4906.4399999999996</v>
      </c>
      <c r="G272" s="39">
        <f>H272/D272</f>
        <v>98.910472500000026</v>
      </c>
      <c r="H272" s="39">
        <f>SUM(H273:H276)</f>
        <v>4112.6974465500007</v>
      </c>
      <c r="I272" s="100">
        <f>F272+H272</f>
        <v>9019.1374465500012</v>
      </c>
    </row>
    <row r="273" spans="1:9" x14ac:dyDescent="0.25">
      <c r="A273" s="99"/>
      <c r="B273" s="26" t="s">
        <v>52</v>
      </c>
      <c r="C273" s="27" t="s">
        <v>47</v>
      </c>
      <c r="D273" s="16">
        <f>D272*0.15</f>
        <v>6.2369999999999992</v>
      </c>
      <c r="E273" s="39"/>
      <c r="F273" s="39"/>
      <c r="G273" s="16">
        <f>6.605*1.03</f>
        <v>6.8031500000000005</v>
      </c>
      <c r="H273" s="17">
        <f>D273*G273</f>
        <v>42.431246549999997</v>
      </c>
      <c r="I273" s="96"/>
    </row>
    <row r="274" spans="1:9" x14ac:dyDescent="0.25">
      <c r="A274" s="99"/>
      <c r="B274" s="14" t="s">
        <v>87</v>
      </c>
      <c r="C274" s="9" t="s">
        <v>8</v>
      </c>
      <c r="D274" s="16">
        <f>D272*1.05</f>
        <v>43.658999999999999</v>
      </c>
      <c r="E274" s="39"/>
      <c r="F274" s="39"/>
      <c r="G274" s="16">
        <v>74.2</v>
      </c>
      <c r="H274" s="17">
        <f t="shared" ref="H274:H276" si="33">D274*G274</f>
        <v>3239.4978000000001</v>
      </c>
      <c r="I274" s="96"/>
    </row>
    <row r="275" spans="1:9" x14ac:dyDescent="0.25">
      <c r="A275" s="99"/>
      <c r="B275" s="26" t="s">
        <v>53</v>
      </c>
      <c r="C275" s="27" t="s">
        <v>47</v>
      </c>
      <c r="D275" s="16">
        <f>D272*6</f>
        <v>249.48</v>
      </c>
      <c r="E275" s="39"/>
      <c r="F275" s="39"/>
      <c r="G275" s="16">
        <v>1.98</v>
      </c>
      <c r="H275" s="17">
        <f t="shared" si="33"/>
        <v>493.97039999999998</v>
      </c>
      <c r="I275" s="96"/>
    </row>
    <row r="276" spans="1:9" x14ac:dyDescent="0.25">
      <c r="A276" s="99"/>
      <c r="B276" s="26" t="s">
        <v>172</v>
      </c>
      <c r="C276" s="27" t="s">
        <v>47</v>
      </c>
      <c r="D276" s="16">
        <f>D272*0.4</f>
        <v>16.632000000000001</v>
      </c>
      <c r="E276" s="39"/>
      <c r="F276" s="39"/>
      <c r="G276" s="16">
        <v>20.25</v>
      </c>
      <c r="H276" s="17">
        <f t="shared" si="33"/>
        <v>336.798</v>
      </c>
      <c r="I276" s="96"/>
    </row>
    <row r="277" spans="1:9" ht="28.5" x14ac:dyDescent="0.25">
      <c r="A277" s="99" t="s">
        <v>171</v>
      </c>
      <c r="B277" s="42" t="s">
        <v>271</v>
      </c>
      <c r="C277" s="37" t="s">
        <v>12</v>
      </c>
      <c r="D277" s="146">
        <v>51.2</v>
      </c>
      <c r="E277" s="39">
        <v>20</v>
      </c>
      <c r="F277" s="39">
        <f>D277*E277</f>
        <v>1024</v>
      </c>
      <c r="G277" s="39">
        <f>H277/D277</f>
        <v>14.836570874999998</v>
      </c>
      <c r="H277" s="39">
        <f>SUM(H278:H281)</f>
        <v>759.63242879999996</v>
      </c>
      <c r="I277" s="100">
        <f>F277+H277</f>
        <v>1783.6324288000001</v>
      </c>
    </row>
    <row r="278" spans="1:9" x14ac:dyDescent="0.25">
      <c r="A278" s="95"/>
      <c r="B278" s="26" t="s">
        <v>52</v>
      </c>
      <c r="C278" s="27" t="s">
        <v>47</v>
      </c>
      <c r="D278" s="16">
        <f>D277*0.15*0.15</f>
        <v>1.1519999999999999</v>
      </c>
      <c r="E278" s="10"/>
      <c r="F278" s="10"/>
      <c r="G278" s="16">
        <f>6.605*1.03</f>
        <v>6.8031500000000005</v>
      </c>
      <c r="H278" s="17">
        <f>D278*G278</f>
        <v>7.8372288000000001</v>
      </c>
      <c r="I278" s="96"/>
    </row>
    <row r="279" spans="1:9" x14ac:dyDescent="0.25">
      <c r="A279" s="95"/>
      <c r="B279" s="14" t="s">
        <v>87</v>
      </c>
      <c r="C279" s="9" t="s">
        <v>8</v>
      </c>
      <c r="D279" s="16">
        <f>D277*1.05*0.15</f>
        <v>8.0640000000000001</v>
      </c>
      <c r="E279" s="10"/>
      <c r="F279" s="10"/>
      <c r="G279" s="16">
        <v>74.2</v>
      </c>
      <c r="H279" s="17">
        <f t="shared" ref="H279:H281" si="34">D279*G279</f>
        <v>598.34879999999998</v>
      </c>
      <c r="I279" s="96"/>
    </row>
    <row r="280" spans="1:9" x14ac:dyDescent="0.25">
      <c r="A280" s="95"/>
      <c r="B280" s="26" t="s">
        <v>53</v>
      </c>
      <c r="C280" s="27" t="s">
        <v>47</v>
      </c>
      <c r="D280" s="16">
        <f>D277*6*0.15</f>
        <v>46.080000000000005</v>
      </c>
      <c r="E280" s="10"/>
      <c r="F280" s="10"/>
      <c r="G280" s="16">
        <v>1.98</v>
      </c>
      <c r="H280" s="17">
        <f t="shared" si="34"/>
        <v>91.238400000000013</v>
      </c>
      <c r="I280" s="96"/>
    </row>
    <row r="281" spans="1:9" x14ac:dyDescent="0.25">
      <c r="A281" s="95"/>
      <c r="B281" s="26" t="s">
        <v>172</v>
      </c>
      <c r="C281" s="27" t="s">
        <v>47</v>
      </c>
      <c r="D281" s="16">
        <f>D277*0.4*0.15</f>
        <v>3.0720000000000005</v>
      </c>
      <c r="E281" s="10"/>
      <c r="F281" s="10"/>
      <c r="G281" s="16">
        <v>20.25</v>
      </c>
      <c r="H281" s="17">
        <f t="shared" si="34"/>
        <v>62.208000000000013</v>
      </c>
      <c r="I281" s="96"/>
    </row>
    <row r="282" spans="1:9" x14ac:dyDescent="0.25">
      <c r="A282" s="137" t="s">
        <v>173</v>
      </c>
      <c r="B282" s="140" t="s">
        <v>282</v>
      </c>
      <c r="C282" s="136"/>
      <c r="D282" s="12"/>
      <c r="E282" s="13"/>
      <c r="F282" s="13"/>
      <c r="G282" s="13"/>
      <c r="H282" s="13"/>
      <c r="I282" s="104"/>
    </row>
    <row r="283" spans="1:9" x14ac:dyDescent="0.25">
      <c r="A283" s="99" t="s">
        <v>174</v>
      </c>
      <c r="B283" s="42" t="s">
        <v>283</v>
      </c>
      <c r="C283" s="37" t="s">
        <v>8</v>
      </c>
      <c r="D283" s="146">
        <v>50.76</v>
      </c>
      <c r="E283" s="34">
        <f>E11</f>
        <v>50</v>
      </c>
      <c r="F283" s="39">
        <f>D283*E283</f>
        <v>2538</v>
      </c>
      <c r="G283" s="39">
        <f>H283/D283</f>
        <v>59.861250000000013</v>
      </c>
      <c r="H283" s="39">
        <f>SUM(H284:H285)</f>
        <v>3038.5570500000003</v>
      </c>
      <c r="I283" s="100">
        <f>F283+H283</f>
        <v>5576.5570500000003</v>
      </c>
    </row>
    <row r="284" spans="1:9" x14ac:dyDescent="0.25">
      <c r="A284" s="105"/>
      <c r="B284" s="6" t="s">
        <v>393</v>
      </c>
      <c r="C284" s="29" t="s">
        <v>51</v>
      </c>
      <c r="D284" s="8">
        <f>(D283*400*0.0625*1.02)/1000</f>
        <v>1.2943800000000001</v>
      </c>
      <c r="E284" s="45"/>
      <c r="F284" s="45"/>
      <c r="G284" s="17">
        <v>1620</v>
      </c>
      <c r="H284" s="17">
        <f>D284*G284</f>
        <v>2096.8956000000003</v>
      </c>
      <c r="I284" s="106"/>
    </row>
    <row r="285" spans="1:9" x14ac:dyDescent="0.25">
      <c r="A285" s="107"/>
      <c r="B285" s="28" t="s">
        <v>86</v>
      </c>
      <c r="C285" s="29" t="s">
        <v>51</v>
      </c>
      <c r="D285" s="30">
        <f>(D283*1940*0.0625*1.02)/1000</f>
        <v>6.2777429999999992</v>
      </c>
      <c r="E285" s="46"/>
      <c r="F285" s="46"/>
      <c r="G285" s="17">
        <v>150</v>
      </c>
      <c r="H285" s="17">
        <f>D285*G285</f>
        <v>941.66144999999983</v>
      </c>
      <c r="I285" s="108"/>
    </row>
    <row r="286" spans="1:9" ht="28.5" x14ac:dyDescent="0.25">
      <c r="A286" s="99" t="s">
        <v>293</v>
      </c>
      <c r="B286" s="42" t="s">
        <v>79</v>
      </c>
      <c r="C286" s="37" t="s">
        <v>8</v>
      </c>
      <c r="D286" s="146">
        <v>70.59</v>
      </c>
      <c r="E286" s="39">
        <v>25</v>
      </c>
      <c r="F286" s="39">
        <f>D286*E286</f>
        <v>1764.75</v>
      </c>
      <c r="G286" s="39">
        <f>H286/D286</f>
        <v>38.370472499999998</v>
      </c>
      <c r="H286" s="39">
        <f>SUM(H287:H288)</f>
        <v>2708.571653775</v>
      </c>
      <c r="I286" s="100">
        <f>F286+H286</f>
        <v>4473.3216537749995</v>
      </c>
    </row>
    <row r="287" spans="1:9" x14ac:dyDescent="0.25">
      <c r="A287" s="99"/>
      <c r="B287" s="26" t="s">
        <v>52</v>
      </c>
      <c r="C287" s="27" t="s">
        <v>47</v>
      </c>
      <c r="D287" s="16">
        <f>D286*0.15</f>
        <v>10.5885</v>
      </c>
      <c r="E287" s="39"/>
      <c r="F287" s="39"/>
      <c r="G287" s="16">
        <f>6.605*1.03</f>
        <v>6.8031500000000005</v>
      </c>
      <c r="H287" s="17">
        <f>D287*G287</f>
        <v>72.035153774999998</v>
      </c>
      <c r="I287" s="96"/>
    </row>
    <row r="288" spans="1:9" ht="15.75" thickBot="1" x14ac:dyDescent="0.3">
      <c r="A288" s="99"/>
      <c r="B288" s="14" t="s">
        <v>59</v>
      </c>
      <c r="C288" s="9" t="s">
        <v>47</v>
      </c>
      <c r="D288" s="16">
        <f>D286*5</f>
        <v>352.95000000000005</v>
      </c>
      <c r="E288" s="39"/>
      <c r="F288" s="39"/>
      <c r="G288" s="16">
        <v>7.47</v>
      </c>
      <c r="H288" s="16">
        <f>D288*G288</f>
        <v>2636.5365000000002</v>
      </c>
      <c r="I288" s="96"/>
    </row>
    <row r="289" spans="1:9" ht="15.75" thickBot="1" x14ac:dyDescent="0.3">
      <c r="A289" s="81"/>
      <c r="B289" s="87" t="s">
        <v>22</v>
      </c>
      <c r="C289" s="83"/>
      <c r="D289" s="84"/>
      <c r="E289" s="85"/>
      <c r="F289" s="85"/>
      <c r="G289" s="85"/>
      <c r="H289" s="85"/>
      <c r="I289" s="86">
        <f>SUM(I290:I505)</f>
        <v>8685509.1048144735</v>
      </c>
    </row>
    <row r="290" spans="1:9" s="5" customFormat="1" ht="14.45" customHeight="1" x14ac:dyDescent="0.25">
      <c r="A290" s="113" t="s">
        <v>185</v>
      </c>
      <c r="B290" s="23" t="s">
        <v>23</v>
      </c>
      <c r="C290" s="22"/>
      <c r="D290" s="24"/>
      <c r="E290" s="25"/>
      <c r="F290" s="25"/>
      <c r="G290" s="25"/>
      <c r="H290" s="25"/>
      <c r="I290" s="114"/>
    </row>
    <row r="291" spans="1:9" x14ac:dyDescent="0.25">
      <c r="A291" s="99" t="s">
        <v>175</v>
      </c>
      <c r="B291" s="42" t="s">
        <v>140</v>
      </c>
      <c r="C291" s="32" t="s">
        <v>8</v>
      </c>
      <c r="D291" s="34">
        <v>47633.86</v>
      </c>
      <c r="E291" s="39">
        <v>55</v>
      </c>
      <c r="F291" s="39">
        <f>D291*E291</f>
        <v>2619862.2999999998</v>
      </c>
      <c r="G291" s="39">
        <f>H291/D291</f>
        <v>59.102473644859813</v>
      </c>
      <c r="H291" s="39">
        <f>SUM(H292:H296)</f>
        <v>2815278.9552529422</v>
      </c>
      <c r="I291" s="100">
        <f>F291+H291</f>
        <v>5435141.2552529424</v>
      </c>
    </row>
    <row r="292" spans="1:9" ht="15" customHeight="1" x14ac:dyDescent="0.25">
      <c r="A292" s="103"/>
      <c r="B292" s="56" t="s">
        <v>136</v>
      </c>
      <c r="C292" s="9" t="s">
        <v>29</v>
      </c>
      <c r="D292" s="16">
        <f>D291*17/30</f>
        <v>26992.520666666667</v>
      </c>
      <c r="E292" s="16"/>
      <c r="F292" s="16"/>
      <c r="G292" s="16">
        <v>79.25</v>
      </c>
      <c r="H292" s="17">
        <f>D292*G292</f>
        <v>2139157.2628333336</v>
      </c>
      <c r="I292" s="115"/>
    </row>
    <row r="293" spans="1:9" s="18" customFormat="1" outlineLevel="1" x14ac:dyDescent="0.25">
      <c r="A293" s="116"/>
      <c r="B293" s="57" t="s">
        <v>133</v>
      </c>
      <c r="C293" s="9" t="s">
        <v>29</v>
      </c>
      <c r="D293" s="8">
        <f>D291*0.1/15</f>
        <v>317.55906666666669</v>
      </c>
      <c r="E293" s="17"/>
      <c r="F293" s="17"/>
      <c r="G293" s="17">
        <v>1239</v>
      </c>
      <c r="H293" s="17">
        <f t="shared" ref="H293:H296" si="35">D293*G293</f>
        <v>393455.68360000005</v>
      </c>
      <c r="I293" s="98"/>
    </row>
    <row r="294" spans="1:9" s="18" customFormat="1" outlineLevel="1" x14ac:dyDescent="0.25">
      <c r="A294" s="116"/>
      <c r="B294" s="56" t="s">
        <v>357</v>
      </c>
      <c r="C294" s="9" t="s">
        <v>29</v>
      </c>
      <c r="D294" s="8">
        <f>D291/0.856/3</f>
        <v>18549.010903426792</v>
      </c>
      <c r="E294" s="17"/>
      <c r="F294" s="17"/>
      <c r="G294" s="17">
        <v>4.7300000000000004</v>
      </c>
      <c r="H294" s="17">
        <f t="shared" si="35"/>
        <v>87736.821573208726</v>
      </c>
      <c r="I294" s="98"/>
    </row>
    <row r="295" spans="1:9" ht="15" customHeight="1" x14ac:dyDescent="0.25">
      <c r="A295" s="103"/>
      <c r="B295" s="56" t="s">
        <v>137</v>
      </c>
      <c r="C295" s="9" t="s">
        <v>29</v>
      </c>
      <c r="D295" s="16">
        <f>D291*0.3/3</f>
        <v>4763.3859999999995</v>
      </c>
      <c r="E295" s="16"/>
      <c r="F295" s="16"/>
      <c r="G295" s="54">
        <f>21.84*1.02</f>
        <v>22.276800000000001</v>
      </c>
      <c r="H295" s="17">
        <f t="shared" si="35"/>
        <v>106112.99724479999</v>
      </c>
      <c r="I295" s="115"/>
    </row>
    <row r="296" spans="1:9" x14ac:dyDescent="0.25">
      <c r="A296" s="103"/>
      <c r="B296" s="56" t="s">
        <v>146</v>
      </c>
      <c r="C296" s="9" t="s">
        <v>29</v>
      </c>
      <c r="D296" s="8">
        <f>D291*0.2/50</f>
        <v>190.53544000000002</v>
      </c>
      <c r="E296" s="17"/>
      <c r="F296" s="17"/>
      <c r="G296" s="17">
        <f>457*1.02</f>
        <v>466.14</v>
      </c>
      <c r="H296" s="17">
        <f t="shared" si="35"/>
        <v>88816.190001600015</v>
      </c>
      <c r="I296" s="115"/>
    </row>
    <row r="297" spans="1:9" s="5" customFormat="1" ht="14.45" customHeight="1" x14ac:dyDescent="0.25">
      <c r="A297" s="137" t="s">
        <v>186</v>
      </c>
      <c r="B297" s="11" t="s">
        <v>24</v>
      </c>
      <c r="C297" s="43"/>
      <c r="D297" s="12"/>
      <c r="E297" s="13"/>
      <c r="F297" s="13"/>
      <c r="G297" s="13"/>
      <c r="H297" s="13"/>
      <c r="I297" s="117"/>
    </row>
    <row r="298" spans="1:9" s="44" customFormat="1" x14ac:dyDescent="0.25">
      <c r="A298" s="99" t="s">
        <v>181</v>
      </c>
      <c r="B298" s="42" t="s">
        <v>140</v>
      </c>
      <c r="C298" s="37" t="s">
        <v>8</v>
      </c>
      <c r="D298" s="39">
        <v>228.77</v>
      </c>
      <c r="E298" s="39">
        <v>55</v>
      </c>
      <c r="F298" s="39">
        <f>D298*E298</f>
        <v>12582.35</v>
      </c>
      <c r="G298" s="39">
        <f>H298/D298</f>
        <v>59.340473644859813</v>
      </c>
      <c r="H298" s="39">
        <f>SUM(H299:H303)</f>
        <v>13575.32015573458</v>
      </c>
      <c r="I298" s="100">
        <f>F298+H298</f>
        <v>26157.67015573458</v>
      </c>
    </row>
    <row r="299" spans="1:9" ht="15" customHeight="1" x14ac:dyDescent="0.25">
      <c r="A299" s="99"/>
      <c r="B299" s="56" t="s">
        <v>136</v>
      </c>
      <c r="C299" s="9" t="s">
        <v>29</v>
      </c>
      <c r="D299" s="16">
        <f>D298*17/30</f>
        <v>129.63633333333334</v>
      </c>
      <c r="E299" s="16"/>
      <c r="F299" s="16"/>
      <c r="G299" s="16">
        <v>79.67</v>
      </c>
      <c r="H299" s="17">
        <f>D299*G299</f>
        <v>10328.126676666667</v>
      </c>
      <c r="I299" s="115"/>
    </row>
    <row r="300" spans="1:9" s="18" customFormat="1" outlineLevel="1" x14ac:dyDescent="0.25">
      <c r="A300" s="105"/>
      <c r="B300" s="57" t="s">
        <v>133</v>
      </c>
      <c r="C300" s="9" t="s">
        <v>29</v>
      </c>
      <c r="D300" s="8">
        <f>D298*0.1/15</f>
        <v>1.5251333333333335</v>
      </c>
      <c r="E300" s="17"/>
      <c r="F300" s="17"/>
      <c r="G300" s="17">
        <v>1239</v>
      </c>
      <c r="H300" s="17">
        <f t="shared" ref="H300:H303" si="36">D300*G300</f>
        <v>1889.6402</v>
      </c>
      <c r="I300" s="98"/>
    </row>
    <row r="301" spans="1:9" s="18" customFormat="1" outlineLevel="1" x14ac:dyDescent="0.25">
      <c r="A301" s="105"/>
      <c r="B301" s="56" t="s">
        <v>357</v>
      </c>
      <c r="C301" s="9" t="s">
        <v>29</v>
      </c>
      <c r="D301" s="8">
        <f>D298/0.856/3</f>
        <v>89.084890965732086</v>
      </c>
      <c r="E301" s="17"/>
      <c r="F301" s="17"/>
      <c r="G301" s="17">
        <v>4.7300000000000004</v>
      </c>
      <c r="H301" s="17">
        <f t="shared" si="36"/>
        <v>421.37153426791281</v>
      </c>
      <c r="I301" s="98"/>
    </row>
    <row r="302" spans="1:9" ht="15" customHeight="1" x14ac:dyDescent="0.25">
      <c r="A302" s="99"/>
      <c r="B302" s="56" t="s">
        <v>137</v>
      </c>
      <c r="C302" s="9" t="s">
        <v>29</v>
      </c>
      <c r="D302" s="16">
        <f>D298*0.3/3</f>
        <v>22.876999999999999</v>
      </c>
      <c r="E302" s="16"/>
      <c r="F302" s="16"/>
      <c r="G302" s="54">
        <f>21.84*1.02</f>
        <v>22.276800000000001</v>
      </c>
      <c r="H302" s="17">
        <f t="shared" si="36"/>
        <v>509.62635360000002</v>
      </c>
      <c r="I302" s="115"/>
    </row>
    <row r="303" spans="1:9" x14ac:dyDescent="0.25">
      <c r="A303" s="99"/>
      <c r="B303" s="56" t="s">
        <v>135</v>
      </c>
      <c r="C303" s="9" t="s">
        <v>29</v>
      </c>
      <c r="D303" s="8">
        <f>D298*0.2/50</f>
        <v>0.91508000000000012</v>
      </c>
      <c r="E303" s="17"/>
      <c r="F303" s="17"/>
      <c r="G303" s="17">
        <f>457*1.02</f>
        <v>466.14</v>
      </c>
      <c r="H303" s="17">
        <f t="shared" si="36"/>
        <v>426.55539120000003</v>
      </c>
      <c r="I303" s="115"/>
    </row>
    <row r="304" spans="1:9" x14ac:dyDescent="0.25">
      <c r="A304" s="99" t="s">
        <v>182</v>
      </c>
      <c r="B304" s="42" t="s">
        <v>142</v>
      </c>
      <c r="C304" s="37" t="s">
        <v>8</v>
      </c>
      <c r="D304" s="39">
        <v>141.94999999999999</v>
      </c>
      <c r="E304" s="39">
        <v>50</v>
      </c>
      <c r="F304" s="39">
        <f>D304*E304</f>
        <v>7097.4999999999991</v>
      </c>
      <c r="G304" s="39">
        <f>H304/D304</f>
        <v>13.1332325</v>
      </c>
      <c r="H304" s="39">
        <f>SUM(H305:H307)</f>
        <v>1864.2623533749997</v>
      </c>
      <c r="I304" s="100">
        <f>F304+H304</f>
        <v>8961.7623533749993</v>
      </c>
    </row>
    <row r="305" spans="1:10" x14ac:dyDescent="0.25">
      <c r="A305" s="99"/>
      <c r="B305" s="26" t="s">
        <v>52</v>
      </c>
      <c r="C305" s="27" t="s">
        <v>47</v>
      </c>
      <c r="D305" s="16">
        <f>D304*0.15</f>
        <v>21.292499999999997</v>
      </c>
      <c r="E305" s="10"/>
      <c r="F305" s="10"/>
      <c r="G305" s="16">
        <f>6.605*1.03</f>
        <v>6.8031500000000005</v>
      </c>
      <c r="H305" s="17">
        <f>D305*G305</f>
        <v>144.856071375</v>
      </c>
      <c r="I305" s="115"/>
    </row>
    <row r="306" spans="1:10" x14ac:dyDescent="0.25">
      <c r="A306" s="99"/>
      <c r="B306" s="158" t="s">
        <v>358</v>
      </c>
      <c r="C306" s="159" t="s">
        <v>47</v>
      </c>
      <c r="D306" s="145">
        <f>D304*1.8</f>
        <v>255.51</v>
      </c>
      <c r="E306" s="10"/>
      <c r="F306" s="10"/>
      <c r="G306" s="16">
        <f>81.95/30</f>
        <v>2.7316666666666669</v>
      </c>
      <c r="H306" s="17">
        <f t="shared" ref="H306:H307" si="37">D306*G306</f>
        <v>697.96815000000004</v>
      </c>
      <c r="I306" s="115"/>
    </row>
    <row r="307" spans="1:10" ht="14.25" customHeight="1" x14ac:dyDescent="0.25">
      <c r="A307" s="99"/>
      <c r="B307" s="14" t="s">
        <v>141</v>
      </c>
      <c r="C307" s="9" t="s">
        <v>47</v>
      </c>
      <c r="D307" s="16">
        <f>D304*1.3</f>
        <v>184.535</v>
      </c>
      <c r="E307" s="10"/>
      <c r="F307" s="10"/>
      <c r="G307" s="16">
        <f>138.38/25</f>
        <v>5.5351999999999997</v>
      </c>
      <c r="H307" s="17">
        <f t="shared" si="37"/>
        <v>1021.4381319999999</v>
      </c>
      <c r="I307" s="115"/>
      <c r="J307" s="1">
        <v>81.95</v>
      </c>
    </row>
    <row r="308" spans="1:10" x14ac:dyDescent="0.25">
      <c r="A308" s="99" t="s">
        <v>183</v>
      </c>
      <c r="B308" s="42" t="s">
        <v>143</v>
      </c>
      <c r="C308" s="37" t="s">
        <v>8</v>
      </c>
      <c r="D308" s="39">
        <v>141.94999999999999</v>
      </c>
      <c r="E308" s="39">
        <v>28</v>
      </c>
      <c r="F308" s="39">
        <f>D308*E308</f>
        <v>3974.5999999999995</v>
      </c>
      <c r="G308" s="39">
        <f>H308/D308</f>
        <v>9.2704725000000003</v>
      </c>
      <c r="H308" s="39">
        <f>SUM(H309:H310)</f>
        <v>1315.9435713749999</v>
      </c>
      <c r="I308" s="100">
        <f>F308+H308</f>
        <v>5290.5435713749994</v>
      </c>
    </row>
    <row r="309" spans="1:10" x14ac:dyDescent="0.25">
      <c r="A309" s="99"/>
      <c r="B309" s="26" t="s">
        <v>52</v>
      </c>
      <c r="C309" s="27" t="s">
        <v>47</v>
      </c>
      <c r="D309" s="16">
        <f>D308*0.15</f>
        <v>21.292499999999997</v>
      </c>
      <c r="E309" s="10"/>
      <c r="F309" s="10"/>
      <c r="G309" s="16">
        <f>6.605*1.03</f>
        <v>6.8031500000000005</v>
      </c>
      <c r="H309" s="17">
        <f>D309*G309</f>
        <v>144.856071375</v>
      </c>
      <c r="I309" s="100"/>
    </row>
    <row r="310" spans="1:10" ht="14.25" customHeight="1" x14ac:dyDescent="0.25">
      <c r="A310" s="99"/>
      <c r="B310" s="14" t="s">
        <v>145</v>
      </c>
      <c r="C310" s="9" t="s">
        <v>144</v>
      </c>
      <c r="D310" s="16">
        <f>D308*0.3</f>
        <v>42.584999999999994</v>
      </c>
      <c r="E310" s="10"/>
      <c r="F310" s="10"/>
      <c r="G310" s="16">
        <v>27.5</v>
      </c>
      <c r="H310" s="17">
        <f>D310*G310</f>
        <v>1171.0874999999999</v>
      </c>
      <c r="I310" s="100"/>
    </row>
    <row r="311" spans="1:10" x14ac:dyDescent="0.25">
      <c r="A311" s="99" t="s">
        <v>184</v>
      </c>
      <c r="B311" s="42" t="s">
        <v>147</v>
      </c>
      <c r="C311" s="37" t="s">
        <v>8</v>
      </c>
      <c r="D311" s="39">
        <v>86.82</v>
      </c>
      <c r="E311" s="39">
        <f>E26</f>
        <v>118</v>
      </c>
      <c r="F311" s="39">
        <f>D311*E311</f>
        <v>10244.759999999998</v>
      </c>
      <c r="G311" s="39">
        <f>H311/D311</f>
        <v>189.00047250000003</v>
      </c>
      <c r="H311" s="39">
        <f>SUM(H312:H315)</f>
        <v>16409.021022450001</v>
      </c>
      <c r="I311" s="100">
        <f>F311+H311</f>
        <v>26653.781022449999</v>
      </c>
    </row>
    <row r="312" spans="1:10" x14ac:dyDescent="0.25">
      <c r="A312" s="99"/>
      <c r="B312" s="26" t="s">
        <v>52</v>
      </c>
      <c r="C312" s="27" t="s">
        <v>47</v>
      </c>
      <c r="D312" s="16">
        <f>D311*0.15</f>
        <v>13.022999999999998</v>
      </c>
      <c r="E312" s="39"/>
      <c r="F312" s="39"/>
      <c r="G312" s="16">
        <f>6.605*1.03</f>
        <v>6.8031500000000005</v>
      </c>
      <c r="H312" s="17">
        <f>D312*G312</f>
        <v>88.597422449999996</v>
      </c>
      <c r="I312" s="115"/>
    </row>
    <row r="313" spans="1:10" ht="14.25" customHeight="1" x14ac:dyDescent="0.25">
      <c r="A313" s="99"/>
      <c r="B313" s="14" t="s">
        <v>148</v>
      </c>
      <c r="C313" s="9" t="s">
        <v>8</v>
      </c>
      <c r="D313" s="16">
        <f>D311*1.05</f>
        <v>91.161000000000001</v>
      </c>
      <c r="E313" s="39"/>
      <c r="F313" s="39"/>
      <c r="G313" s="16">
        <v>160</v>
      </c>
      <c r="H313" s="17">
        <f t="shared" ref="H313:H315" si="38">D313*G313</f>
        <v>14585.76</v>
      </c>
      <c r="I313" s="115"/>
    </row>
    <row r="314" spans="1:10" x14ac:dyDescent="0.25">
      <c r="A314" s="99"/>
      <c r="B314" s="26" t="s">
        <v>53</v>
      </c>
      <c r="C314" s="27" t="s">
        <v>47</v>
      </c>
      <c r="D314" s="16">
        <f>D311*6</f>
        <v>520.91999999999996</v>
      </c>
      <c r="E314" s="39"/>
      <c r="F314" s="39"/>
      <c r="G314" s="16">
        <v>1.98</v>
      </c>
      <c r="H314" s="17">
        <f t="shared" si="38"/>
        <v>1031.4215999999999</v>
      </c>
      <c r="I314" s="115"/>
    </row>
    <row r="315" spans="1:10" x14ac:dyDescent="0.25">
      <c r="A315" s="99"/>
      <c r="B315" s="26" t="s">
        <v>172</v>
      </c>
      <c r="C315" s="27" t="s">
        <v>47</v>
      </c>
      <c r="D315" s="16">
        <f>D311*0.4</f>
        <v>34.728000000000002</v>
      </c>
      <c r="E315" s="39"/>
      <c r="F315" s="39"/>
      <c r="G315" s="16">
        <v>20.25</v>
      </c>
      <c r="H315" s="17">
        <f t="shared" si="38"/>
        <v>703.24200000000008</v>
      </c>
      <c r="I315" s="115"/>
    </row>
    <row r="316" spans="1:10" s="5" customFormat="1" ht="14.45" customHeight="1" x14ac:dyDescent="0.25">
      <c r="A316" s="137" t="s">
        <v>187</v>
      </c>
      <c r="B316" s="11" t="s">
        <v>25</v>
      </c>
      <c r="C316" s="43"/>
      <c r="D316" s="12"/>
      <c r="E316" s="13"/>
      <c r="F316" s="13"/>
      <c r="G316" s="13"/>
      <c r="H316" s="13"/>
      <c r="I316" s="117"/>
    </row>
    <row r="317" spans="1:10" x14ac:dyDescent="0.25">
      <c r="A317" s="99" t="s">
        <v>188</v>
      </c>
      <c r="B317" s="42" t="s">
        <v>140</v>
      </c>
      <c r="C317" s="32" t="s">
        <v>8</v>
      </c>
      <c r="D317" s="34">
        <v>85.4</v>
      </c>
      <c r="E317" s="39">
        <v>55</v>
      </c>
      <c r="F317" s="39">
        <f>D317*E317</f>
        <v>4697</v>
      </c>
      <c r="G317" s="39">
        <f>H317/D317</f>
        <v>59.340473644859813</v>
      </c>
      <c r="H317" s="39">
        <f>SUM(H318:H322)</f>
        <v>5067.6764492710281</v>
      </c>
      <c r="I317" s="100">
        <f>F317+H317</f>
        <v>9764.6764492710281</v>
      </c>
    </row>
    <row r="318" spans="1:10" ht="15" customHeight="1" x14ac:dyDescent="0.25">
      <c r="A318" s="99"/>
      <c r="B318" s="56" t="s">
        <v>136</v>
      </c>
      <c r="C318" s="9" t="s">
        <v>29</v>
      </c>
      <c r="D318" s="16">
        <f>D317*17/30</f>
        <v>48.393333333333338</v>
      </c>
      <c r="E318" s="16"/>
      <c r="F318" s="16"/>
      <c r="G318" s="16">
        <v>79.67</v>
      </c>
      <c r="H318" s="17">
        <f>D318*G318</f>
        <v>3855.4968666666673</v>
      </c>
      <c r="I318" s="115"/>
    </row>
    <row r="319" spans="1:10" s="18" customFormat="1" outlineLevel="1" x14ac:dyDescent="0.25">
      <c r="A319" s="105"/>
      <c r="B319" s="57" t="s">
        <v>133</v>
      </c>
      <c r="C319" s="9" t="s">
        <v>29</v>
      </c>
      <c r="D319" s="8">
        <f>D317*0.1/15</f>
        <v>0.56933333333333336</v>
      </c>
      <c r="E319" s="17"/>
      <c r="F319" s="17"/>
      <c r="G319" s="17">
        <v>1239</v>
      </c>
      <c r="H319" s="17">
        <f t="shared" ref="H319:H322" si="39">D319*G319</f>
        <v>705.404</v>
      </c>
      <c r="I319" s="98"/>
    </row>
    <row r="320" spans="1:10" s="18" customFormat="1" outlineLevel="1" x14ac:dyDescent="0.25">
      <c r="A320" s="105"/>
      <c r="B320" s="56" t="s">
        <v>134</v>
      </c>
      <c r="C320" s="9" t="s">
        <v>29</v>
      </c>
      <c r="D320" s="8">
        <f>D317/0.856/3</f>
        <v>33.255451713395644</v>
      </c>
      <c r="E320" s="17"/>
      <c r="F320" s="17"/>
      <c r="G320" s="17">
        <v>4.7300000000000004</v>
      </c>
      <c r="H320" s="17">
        <f t="shared" si="39"/>
        <v>157.29828660436141</v>
      </c>
      <c r="I320" s="98"/>
    </row>
    <row r="321" spans="1:10" ht="15" customHeight="1" x14ac:dyDescent="0.25">
      <c r="A321" s="99"/>
      <c r="B321" s="56" t="s">
        <v>137</v>
      </c>
      <c r="C321" s="9" t="s">
        <v>29</v>
      </c>
      <c r="D321" s="16">
        <f>D317*0.3/3</f>
        <v>8.5400000000000009</v>
      </c>
      <c r="E321" s="16"/>
      <c r="F321" s="16"/>
      <c r="G321" s="54">
        <f>21.84*1.02</f>
        <v>22.276800000000001</v>
      </c>
      <c r="H321" s="17">
        <f t="shared" si="39"/>
        <v>190.24387200000004</v>
      </c>
      <c r="I321" s="115"/>
    </row>
    <row r="322" spans="1:10" x14ac:dyDescent="0.25">
      <c r="A322" s="99"/>
      <c r="B322" s="56" t="s">
        <v>146</v>
      </c>
      <c r="C322" s="9" t="s">
        <v>29</v>
      </c>
      <c r="D322" s="8">
        <f>D317*0.2/50</f>
        <v>0.34160000000000001</v>
      </c>
      <c r="E322" s="17"/>
      <c r="F322" s="17"/>
      <c r="G322" s="17">
        <f>457*1.02</f>
        <v>466.14</v>
      </c>
      <c r="H322" s="17">
        <f t="shared" si="39"/>
        <v>159.23342400000001</v>
      </c>
      <c r="I322" s="115"/>
    </row>
    <row r="323" spans="1:10" x14ac:dyDescent="0.25">
      <c r="A323" s="99" t="s">
        <v>189</v>
      </c>
      <c r="B323" s="42" t="s">
        <v>142</v>
      </c>
      <c r="C323" s="37" t="s">
        <v>8</v>
      </c>
      <c r="D323" s="39">
        <v>50.19</v>
      </c>
      <c r="E323" s="39">
        <v>50</v>
      </c>
      <c r="F323" s="39">
        <f>D323*E323</f>
        <v>2509.5</v>
      </c>
      <c r="G323" s="39">
        <f>H323/D323</f>
        <v>13.1332325</v>
      </c>
      <c r="H323" s="39">
        <f>SUM(H324:H326)</f>
        <v>659.15693917499993</v>
      </c>
      <c r="I323" s="100">
        <f>F323+H323</f>
        <v>3168.6569391749999</v>
      </c>
    </row>
    <row r="324" spans="1:10" x14ac:dyDescent="0.25">
      <c r="A324" s="99"/>
      <c r="B324" s="26" t="s">
        <v>52</v>
      </c>
      <c r="C324" s="27" t="s">
        <v>47</v>
      </c>
      <c r="D324" s="16">
        <f>D323*0.15</f>
        <v>7.5284999999999993</v>
      </c>
      <c r="E324" s="10"/>
      <c r="F324" s="10"/>
      <c r="G324" s="16">
        <f>6.605*1.03</f>
        <v>6.8031500000000005</v>
      </c>
      <c r="H324" s="17">
        <f>D324*G324</f>
        <v>51.217514774999998</v>
      </c>
      <c r="I324" s="115"/>
    </row>
    <row r="325" spans="1:10" ht="14.25" customHeight="1" x14ac:dyDescent="0.25">
      <c r="A325" s="99"/>
      <c r="B325" s="14" t="s">
        <v>252</v>
      </c>
      <c r="C325" s="9" t="s">
        <v>47</v>
      </c>
      <c r="D325" s="16">
        <f>D323*1.8</f>
        <v>90.341999999999999</v>
      </c>
      <c r="E325" s="10"/>
      <c r="F325" s="10"/>
      <c r="G325" s="16">
        <f>81.95/30</f>
        <v>2.7316666666666669</v>
      </c>
      <c r="H325" s="17">
        <f t="shared" ref="H325:H326" si="40">D325*G325</f>
        <v>246.78423000000001</v>
      </c>
      <c r="I325" s="115"/>
      <c r="J325" s="1">
        <v>81.95</v>
      </c>
    </row>
    <row r="326" spans="1:10" ht="14.25" customHeight="1" x14ac:dyDescent="0.25">
      <c r="A326" s="99"/>
      <c r="B326" s="14" t="s">
        <v>141</v>
      </c>
      <c r="C326" s="9" t="s">
        <v>47</v>
      </c>
      <c r="D326" s="16">
        <f>D323*1.3</f>
        <v>65.247</v>
      </c>
      <c r="E326" s="10"/>
      <c r="F326" s="10"/>
      <c r="G326" s="16">
        <f>138.38/25</f>
        <v>5.5351999999999997</v>
      </c>
      <c r="H326" s="17">
        <f t="shared" si="40"/>
        <v>361.15519439999997</v>
      </c>
      <c r="I326" s="115"/>
      <c r="J326" s="1">
        <v>81.95</v>
      </c>
    </row>
    <row r="327" spans="1:10" x14ac:dyDescent="0.25">
      <c r="A327" s="99" t="s">
        <v>190</v>
      </c>
      <c r="B327" s="42" t="s">
        <v>143</v>
      </c>
      <c r="C327" s="37" t="s">
        <v>8</v>
      </c>
      <c r="D327" s="39">
        <v>50.19</v>
      </c>
      <c r="E327" s="39">
        <v>28</v>
      </c>
      <c r="F327" s="39">
        <f>D327*E327</f>
        <v>1405.32</v>
      </c>
      <c r="G327" s="39">
        <f>H327/D327</f>
        <v>9.2704724999999986</v>
      </c>
      <c r="H327" s="39">
        <f>SUM(H328:H329)</f>
        <v>465.28501477499992</v>
      </c>
      <c r="I327" s="100">
        <f>F327+H327</f>
        <v>1870.6050147749997</v>
      </c>
    </row>
    <row r="328" spans="1:10" x14ac:dyDescent="0.25">
      <c r="A328" s="99"/>
      <c r="B328" s="26" t="s">
        <v>52</v>
      </c>
      <c r="C328" s="27" t="s">
        <v>47</v>
      </c>
      <c r="D328" s="16">
        <f>D327*0.15</f>
        <v>7.5284999999999993</v>
      </c>
      <c r="E328" s="10"/>
      <c r="F328" s="10"/>
      <c r="G328" s="16">
        <f>6.605*1.03</f>
        <v>6.8031500000000005</v>
      </c>
      <c r="H328" s="17">
        <f>D328*G328</f>
        <v>51.217514774999998</v>
      </c>
      <c r="I328" s="115"/>
    </row>
    <row r="329" spans="1:10" ht="14.25" customHeight="1" x14ac:dyDescent="0.25">
      <c r="A329" s="99"/>
      <c r="B329" s="14" t="s">
        <v>145</v>
      </c>
      <c r="C329" s="9" t="s">
        <v>144</v>
      </c>
      <c r="D329" s="16">
        <f>D327*0.3</f>
        <v>15.056999999999999</v>
      </c>
      <c r="E329" s="10"/>
      <c r="F329" s="10"/>
      <c r="G329" s="16">
        <v>27.5</v>
      </c>
      <c r="H329" s="17">
        <f>D329*G329</f>
        <v>414.06749999999994</v>
      </c>
      <c r="I329" s="115"/>
    </row>
    <row r="330" spans="1:10" x14ac:dyDescent="0.25">
      <c r="A330" s="99" t="s">
        <v>191</v>
      </c>
      <c r="B330" s="42" t="s">
        <v>147</v>
      </c>
      <c r="C330" s="37" t="s">
        <v>8</v>
      </c>
      <c r="D330" s="39">
        <v>35.29</v>
      </c>
      <c r="E330" s="39">
        <f>E26</f>
        <v>118</v>
      </c>
      <c r="F330" s="39">
        <f>D330*E330</f>
        <v>4164.22</v>
      </c>
      <c r="G330" s="39">
        <f>H330/D330</f>
        <v>189.00047249999997</v>
      </c>
      <c r="H330" s="39">
        <f>SUM(H331:H334)</f>
        <v>6669.8266745249994</v>
      </c>
      <c r="I330" s="100">
        <f>F330+H330</f>
        <v>10834.046674525</v>
      </c>
    </row>
    <row r="331" spans="1:10" x14ac:dyDescent="0.25">
      <c r="A331" s="99"/>
      <c r="B331" s="26" t="s">
        <v>52</v>
      </c>
      <c r="C331" s="27" t="s">
        <v>47</v>
      </c>
      <c r="D331" s="16">
        <f>D330*0.15</f>
        <v>5.2934999999999999</v>
      </c>
      <c r="E331" s="39"/>
      <c r="F331" s="39"/>
      <c r="G331" s="16">
        <f>6.605*1.03</f>
        <v>6.8031500000000005</v>
      </c>
      <c r="H331" s="17">
        <f>D331*G331</f>
        <v>36.012474525000002</v>
      </c>
      <c r="I331" s="115"/>
    </row>
    <row r="332" spans="1:10" ht="14.25" customHeight="1" x14ac:dyDescent="0.25">
      <c r="A332" s="99"/>
      <c r="B332" s="14" t="s">
        <v>148</v>
      </c>
      <c r="C332" s="9" t="s">
        <v>8</v>
      </c>
      <c r="D332" s="16">
        <f>D330*1.05</f>
        <v>37.054499999999997</v>
      </c>
      <c r="E332" s="39"/>
      <c r="F332" s="39"/>
      <c r="G332" s="16">
        <v>160</v>
      </c>
      <c r="H332" s="17">
        <f t="shared" ref="H332:H334" si="41">D332*G332</f>
        <v>5928.7199999999993</v>
      </c>
      <c r="I332" s="115"/>
    </row>
    <row r="333" spans="1:10" x14ac:dyDescent="0.25">
      <c r="A333" s="99"/>
      <c r="B333" s="26" t="s">
        <v>53</v>
      </c>
      <c r="C333" s="27" t="s">
        <v>47</v>
      </c>
      <c r="D333" s="16">
        <f>D330*6</f>
        <v>211.74</v>
      </c>
      <c r="E333" s="39"/>
      <c r="F333" s="39"/>
      <c r="G333" s="16">
        <v>1.98</v>
      </c>
      <c r="H333" s="17">
        <f t="shared" si="41"/>
        <v>419.24520000000001</v>
      </c>
      <c r="I333" s="115"/>
    </row>
    <row r="334" spans="1:10" x14ac:dyDescent="0.25">
      <c r="A334" s="99"/>
      <c r="B334" s="26" t="s">
        <v>172</v>
      </c>
      <c r="C334" s="27" t="s">
        <v>47</v>
      </c>
      <c r="D334" s="16">
        <f>D330*0.4</f>
        <v>14.116</v>
      </c>
      <c r="E334" s="39"/>
      <c r="F334" s="39"/>
      <c r="G334" s="16">
        <v>20.25</v>
      </c>
      <c r="H334" s="17">
        <f t="shared" si="41"/>
        <v>285.84899999999999</v>
      </c>
      <c r="I334" s="115"/>
    </row>
    <row r="335" spans="1:10" s="5" customFormat="1" x14ac:dyDescent="0.25">
      <c r="A335" s="174" t="s">
        <v>192</v>
      </c>
      <c r="B335" s="153" t="s">
        <v>381</v>
      </c>
      <c r="C335" s="142"/>
      <c r="D335" s="12"/>
      <c r="E335" s="13"/>
      <c r="F335" s="13"/>
      <c r="G335" s="13"/>
      <c r="H335" s="13"/>
      <c r="I335" s="117"/>
    </row>
    <row r="336" spans="1:10" x14ac:dyDescent="0.25">
      <c r="A336" s="169" t="s">
        <v>193</v>
      </c>
      <c r="B336" s="154" t="s">
        <v>140</v>
      </c>
      <c r="C336" s="179" t="s">
        <v>8</v>
      </c>
      <c r="D336" s="161">
        <v>187.03</v>
      </c>
      <c r="E336" s="39">
        <v>55</v>
      </c>
      <c r="F336" s="39">
        <f>D336*E336</f>
        <v>10286.65</v>
      </c>
      <c r="G336" s="39">
        <f>H336/D336</f>
        <v>59.340473644859827</v>
      </c>
      <c r="H336" s="39">
        <f>SUM(H337:H341)</f>
        <v>11098.448785798133</v>
      </c>
      <c r="I336" s="100">
        <f>F336+H336</f>
        <v>21385.098785798131</v>
      </c>
    </row>
    <row r="337" spans="1:9" ht="15" customHeight="1" x14ac:dyDescent="0.25">
      <c r="A337" s="99"/>
      <c r="B337" s="56" t="s">
        <v>136</v>
      </c>
      <c r="C337" s="9" t="s">
        <v>29</v>
      </c>
      <c r="D337" s="16">
        <f>D336*17/30</f>
        <v>105.98366666666668</v>
      </c>
      <c r="E337" s="16"/>
      <c r="F337" s="16"/>
      <c r="G337" s="16">
        <v>79.67</v>
      </c>
      <c r="H337" s="17">
        <f>D337*G337</f>
        <v>8443.7187233333352</v>
      </c>
      <c r="I337" s="115"/>
    </row>
    <row r="338" spans="1:9" s="18" customFormat="1" outlineLevel="1" x14ac:dyDescent="0.25">
      <c r="A338" s="105"/>
      <c r="B338" s="57" t="s">
        <v>133</v>
      </c>
      <c r="C338" s="9" t="s">
        <v>29</v>
      </c>
      <c r="D338" s="8">
        <f>D336*0.1/15</f>
        <v>1.2468666666666666</v>
      </c>
      <c r="E338" s="17"/>
      <c r="F338" s="17"/>
      <c r="G338" s="17">
        <v>1239</v>
      </c>
      <c r="H338" s="17">
        <f t="shared" ref="H338:H341" si="42">D338*G338</f>
        <v>1544.8678</v>
      </c>
      <c r="I338" s="98"/>
    </row>
    <row r="339" spans="1:9" s="18" customFormat="1" outlineLevel="1" x14ac:dyDescent="0.25">
      <c r="A339" s="105"/>
      <c r="B339" s="56" t="s">
        <v>134</v>
      </c>
      <c r="C339" s="9" t="s">
        <v>29</v>
      </c>
      <c r="D339" s="8">
        <f>D336/0.856/3</f>
        <v>72.8309968847352</v>
      </c>
      <c r="E339" s="17"/>
      <c r="F339" s="17"/>
      <c r="G339" s="17">
        <v>4.7300000000000004</v>
      </c>
      <c r="H339" s="17">
        <f t="shared" si="42"/>
        <v>344.4906152647975</v>
      </c>
      <c r="I339" s="98"/>
    </row>
    <row r="340" spans="1:9" ht="15" customHeight="1" x14ac:dyDescent="0.25">
      <c r="A340" s="99"/>
      <c r="B340" s="56" t="s">
        <v>137</v>
      </c>
      <c r="C340" s="9" t="s">
        <v>29</v>
      </c>
      <c r="D340" s="16">
        <f>D336*0.3/3</f>
        <v>18.702999999999999</v>
      </c>
      <c r="E340" s="16"/>
      <c r="F340" s="16"/>
      <c r="G340" s="54">
        <f>21.84*1.02</f>
        <v>22.276800000000001</v>
      </c>
      <c r="H340" s="17">
        <f t="shared" si="42"/>
        <v>416.64299040000003</v>
      </c>
      <c r="I340" s="115"/>
    </row>
    <row r="341" spans="1:9" x14ac:dyDescent="0.25">
      <c r="A341" s="99"/>
      <c r="B341" s="56" t="s">
        <v>146</v>
      </c>
      <c r="C341" s="9" t="s">
        <v>29</v>
      </c>
      <c r="D341" s="8">
        <f>D336*0.2/50</f>
        <v>0.74812000000000001</v>
      </c>
      <c r="E341" s="17"/>
      <c r="F341" s="17"/>
      <c r="G341" s="17">
        <f>457*1.02</f>
        <v>466.14</v>
      </c>
      <c r="H341" s="17">
        <f t="shared" si="42"/>
        <v>348.72865680000001</v>
      </c>
      <c r="I341" s="115"/>
    </row>
    <row r="342" spans="1:9" ht="28.5" x14ac:dyDescent="0.25">
      <c r="A342" s="169" t="s">
        <v>382</v>
      </c>
      <c r="B342" s="154" t="s">
        <v>160</v>
      </c>
      <c r="C342" s="179" t="s">
        <v>8</v>
      </c>
      <c r="D342" s="161">
        <v>187.03</v>
      </c>
      <c r="E342" s="39">
        <v>57</v>
      </c>
      <c r="F342" s="39">
        <f>D342*E342</f>
        <v>10660.710000000001</v>
      </c>
      <c r="G342" s="39">
        <f>H342/D342</f>
        <v>21.593139166666667</v>
      </c>
      <c r="H342" s="39">
        <f>SUM(H343:H346)</f>
        <v>4038.5648183416665</v>
      </c>
      <c r="I342" s="100">
        <f>F342+H342</f>
        <v>14699.274818341668</v>
      </c>
    </row>
    <row r="343" spans="1:9" x14ac:dyDescent="0.25">
      <c r="A343" s="99"/>
      <c r="B343" s="26" t="s">
        <v>52</v>
      </c>
      <c r="C343" s="27" t="s">
        <v>47</v>
      </c>
      <c r="D343" s="16">
        <f>D342*0.15</f>
        <v>28.054500000000001</v>
      </c>
      <c r="E343" s="39"/>
      <c r="F343" s="39"/>
      <c r="G343" s="16">
        <f>6.605*1.03</f>
        <v>6.8031500000000005</v>
      </c>
      <c r="H343" s="17">
        <f>D343*G343</f>
        <v>190.85897167500002</v>
      </c>
      <c r="I343" s="115"/>
    </row>
    <row r="344" spans="1:9" ht="15" customHeight="1" x14ac:dyDescent="0.25">
      <c r="A344" s="99"/>
      <c r="B344" s="56" t="s">
        <v>136</v>
      </c>
      <c r="C344" s="9" t="s">
        <v>47</v>
      </c>
      <c r="D344" s="16">
        <f>D342*4</f>
        <v>748.12</v>
      </c>
      <c r="E344" s="16"/>
      <c r="F344" s="16"/>
      <c r="G344" s="16">
        <f>79.67/30</f>
        <v>2.6556666666666668</v>
      </c>
      <c r="H344" s="17">
        <f t="shared" ref="H344:H346" si="43">D344*G344</f>
        <v>1986.7573466666668</v>
      </c>
      <c r="I344" s="115"/>
    </row>
    <row r="345" spans="1:9" ht="14.25" customHeight="1" x14ac:dyDescent="0.25">
      <c r="A345" s="99"/>
      <c r="B345" s="14" t="s">
        <v>145</v>
      </c>
      <c r="C345" s="9" t="s">
        <v>144</v>
      </c>
      <c r="D345" s="16">
        <f>D342*0.3</f>
        <v>56.109000000000002</v>
      </c>
      <c r="E345" s="10"/>
      <c r="F345" s="10"/>
      <c r="G345" s="16">
        <v>27.5</v>
      </c>
      <c r="H345" s="17">
        <f t="shared" si="43"/>
        <v>1542.9974999999999</v>
      </c>
      <c r="I345" s="115"/>
    </row>
    <row r="346" spans="1:9" ht="14.25" customHeight="1" x14ac:dyDescent="0.25">
      <c r="A346" s="99"/>
      <c r="B346" s="14" t="s">
        <v>262</v>
      </c>
      <c r="C346" s="9" t="s">
        <v>222</v>
      </c>
      <c r="D346" s="16">
        <f>D342*1</f>
        <v>187.03</v>
      </c>
      <c r="E346" s="10"/>
      <c r="F346" s="10"/>
      <c r="G346" s="16">
        <v>1.7</v>
      </c>
      <c r="H346" s="17">
        <f t="shared" si="43"/>
        <v>317.95100000000002</v>
      </c>
      <c r="I346" s="115"/>
    </row>
    <row r="347" spans="1:9" s="5" customFormat="1" ht="14.45" customHeight="1" x14ac:dyDescent="0.25">
      <c r="A347" s="143" t="s">
        <v>194</v>
      </c>
      <c r="B347" s="11" t="s">
        <v>26</v>
      </c>
      <c r="C347" s="43"/>
      <c r="D347" s="12"/>
      <c r="E347" s="13"/>
      <c r="F347" s="13"/>
      <c r="G347" s="13"/>
      <c r="H347" s="13"/>
      <c r="I347" s="117"/>
    </row>
    <row r="348" spans="1:9" x14ac:dyDescent="0.25">
      <c r="A348" s="99" t="s">
        <v>195</v>
      </c>
      <c r="B348" s="42" t="s">
        <v>140</v>
      </c>
      <c r="C348" s="32" t="s">
        <v>8</v>
      </c>
      <c r="D348" s="34">
        <v>3241.62</v>
      </c>
      <c r="E348" s="39">
        <v>55</v>
      </c>
      <c r="F348" s="39">
        <f>D348*E348</f>
        <v>178289.1</v>
      </c>
      <c r="G348" s="39">
        <f>H348/D348</f>
        <v>59.34047364485982</v>
      </c>
      <c r="H348" s="39">
        <f>SUM(H349:H353)</f>
        <v>192359.26617665048</v>
      </c>
      <c r="I348" s="100">
        <f>F348+H348</f>
        <v>370648.36617665051</v>
      </c>
    </row>
    <row r="349" spans="1:9" ht="15" customHeight="1" x14ac:dyDescent="0.25">
      <c r="A349" s="99"/>
      <c r="B349" s="56" t="s">
        <v>136</v>
      </c>
      <c r="C349" s="9" t="s">
        <v>29</v>
      </c>
      <c r="D349" s="16">
        <f>D348*17/30</f>
        <v>1836.9180000000001</v>
      </c>
      <c r="E349" s="16"/>
      <c r="F349" s="16"/>
      <c r="G349" s="16">
        <v>79.67</v>
      </c>
      <c r="H349" s="17">
        <f>D349*G349</f>
        <v>146347.25706</v>
      </c>
      <c r="I349" s="115"/>
    </row>
    <row r="350" spans="1:9" s="18" customFormat="1" outlineLevel="1" x14ac:dyDescent="0.25">
      <c r="A350" s="105"/>
      <c r="B350" s="57" t="s">
        <v>133</v>
      </c>
      <c r="C350" s="9" t="s">
        <v>29</v>
      </c>
      <c r="D350" s="8">
        <f>D348*0.1/15</f>
        <v>21.610800000000001</v>
      </c>
      <c r="E350" s="17"/>
      <c r="F350" s="17"/>
      <c r="G350" s="17">
        <v>1239</v>
      </c>
      <c r="H350" s="17">
        <f t="shared" ref="H350:H353" si="44">D350*G350</f>
        <v>26775.781200000001</v>
      </c>
      <c r="I350" s="98"/>
    </row>
    <row r="351" spans="1:9" s="18" customFormat="1" outlineLevel="1" x14ac:dyDescent="0.25">
      <c r="A351" s="105"/>
      <c r="B351" s="56" t="s">
        <v>134</v>
      </c>
      <c r="C351" s="9" t="s">
        <v>29</v>
      </c>
      <c r="D351" s="8">
        <f>D348/0.856/3</f>
        <v>1262.3130841121495</v>
      </c>
      <c r="E351" s="17"/>
      <c r="F351" s="17"/>
      <c r="G351" s="17">
        <v>4.7300000000000004</v>
      </c>
      <c r="H351" s="17">
        <f t="shared" si="44"/>
        <v>5970.7408878504675</v>
      </c>
      <c r="I351" s="98"/>
    </row>
    <row r="352" spans="1:9" ht="15" customHeight="1" x14ac:dyDescent="0.25">
      <c r="A352" s="99"/>
      <c r="B352" s="56" t="s">
        <v>137</v>
      </c>
      <c r="C352" s="9" t="s">
        <v>29</v>
      </c>
      <c r="D352" s="16">
        <f>D348*0.3/3</f>
        <v>324.16199999999998</v>
      </c>
      <c r="E352" s="16"/>
      <c r="F352" s="16"/>
      <c r="G352" s="54">
        <f>21.84*1.02</f>
        <v>22.276800000000001</v>
      </c>
      <c r="H352" s="17">
        <f t="shared" si="44"/>
        <v>7221.2920415999997</v>
      </c>
      <c r="I352" s="115"/>
    </row>
    <row r="353" spans="1:10" x14ac:dyDescent="0.25">
      <c r="A353" s="99"/>
      <c r="B353" s="56" t="s">
        <v>146</v>
      </c>
      <c r="C353" s="9" t="s">
        <v>29</v>
      </c>
      <c r="D353" s="8">
        <f>D348*0.2/50</f>
        <v>12.966480000000001</v>
      </c>
      <c r="E353" s="17"/>
      <c r="F353" s="17"/>
      <c r="G353" s="17">
        <f>457*1.02</f>
        <v>466.14</v>
      </c>
      <c r="H353" s="17">
        <f t="shared" si="44"/>
        <v>6044.1949872000005</v>
      </c>
      <c r="I353" s="115"/>
    </row>
    <row r="354" spans="1:10" s="5" customFormat="1" ht="30" x14ac:dyDescent="0.25">
      <c r="A354" s="143" t="s">
        <v>199</v>
      </c>
      <c r="B354" s="11" t="s">
        <v>27</v>
      </c>
      <c r="C354" s="43"/>
      <c r="D354" s="12"/>
      <c r="E354" s="13"/>
      <c r="F354" s="13"/>
      <c r="G354" s="13"/>
      <c r="H354" s="13"/>
      <c r="I354" s="117"/>
    </row>
    <row r="355" spans="1:10" x14ac:dyDescent="0.25">
      <c r="A355" s="99" t="s">
        <v>200</v>
      </c>
      <c r="B355" s="58" t="s">
        <v>263</v>
      </c>
      <c r="C355" s="37" t="s">
        <v>8</v>
      </c>
      <c r="D355" s="39">
        <v>444.93</v>
      </c>
      <c r="E355" s="39">
        <v>65</v>
      </c>
      <c r="F355" s="39">
        <f>D355*E355</f>
        <v>28920.45</v>
      </c>
      <c r="G355" s="39">
        <f>H355/D355</f>
        <v>103.45856876458095</v>
      </c>
      <c r="H355" s="39">
        <f>SUM(H357,H358,H359,H360)</f>
        <v>46031.821000425</v>
      </c>
      <c r="I355" s="100">
        <f>F355+H355</f>
        <v>74952.271000424997</v>
      </c>
    </row>
    <row r="356" spans="1:10" x14ac:dyDescent="0.25">
      <c r="A356" s="99" t="s">
        <v>360</v>
      </c>
      <c r="B356" s="58" t="s">
        <v>166</v>
      </c>
      <c r="C356" s="37" t="s">
        <v>8</v>
      </c>
      <c r="D356" s="146">
        <v>381.33</v>
      </c>
      <c r="E356" s="39">
        <v>65</v>
      </c>
      <c r="F356" s="39">
        <f>D356*E356</f>
        <v>24786.45</v>
      </c>
      <c r="G356" s="39">
        <f>H356/D356</f>
        <v>161.5268725</v>
      </c>
      <c r="H356" s="39">
        <f>SUM(H357:H362)</f>
        <v>61595.042290425001</v>
      </c>
      <c r="I356" s="100">
        <f>F356+H356</f>
        <v>86381.492290424998</v>
      </c>
    </row>
    <row r="357" spans="1:10" s="60" customFormat="1" ht="15" customHeight="1" outlineLevel="1" x14ac:dyDescent="0.25">
      <c r="A357" s="59"/>
      <c r="B357" s="61" t="s">
        <v>161</v>
      </c>
      <c r="C357" s="27" t="s">
        <v>47</v>
      </c>
      <c r="D357" s="62">
        <f>0.15*D356</f>
        <v>57.199499999999993</v>
      </c>
      <c r="E357" s="63"/>
      <c r="F357" s="65"/>
      <c r="G357" s="16">
        <f>6.605*1.03</f>
        <v>6.8031500000000005</v>
      </c>
      <c r="H357" s="64">
        <f>D357*G357</f>
        <v>389.13677842499999</v>
      </c>
      <c r="I357" s="70"/>
    </row>
    <row r="358" spans="1:10" s="60" customFormat="1" ht="15" customHeight="1" outlineLevel="1" x14ac:dyDescent="0.25">
      <c r="A358" s="59"/>
      <c r="B358" s="61" t="s">
        <v>162</v>
      </c>
      <c r="C358" s="27" t="s">
        <v>47</v>
      </c>
      <c r="D358" s="62">
        <f>5*D356</f>
        <v>1906.6499999999999</v>
      </c>
      <c r="E358" s="63"/>
      <c r="F358" s="65"/>
      <c r="G358" s="64">
        <v>4.46</v>
      </c>
      <c r="H358" s="64">
        <f t="shared" ref="H358:H362" si="45">D358*G358</f>
        <v>8503.6589999999997</v>
      </c>
      <c r="I358" s="70"/>
    </row>
    <row r="359" spans="1:10" s="60" customFormat="1" ht="15" customHeight="1" outlineLevel="1" x14ac:dyDescent="0.25">
      <c r="A359" s="59"/>
      <c r="B359" s="61" t="s">
        <v>394</v>
      </c>
      <c r="C359" s="27" t="s">
        <v>111</v>
      </c>
      <c r="D359" s="62">
        <f>1.05*0.05*D356</f>
        <v>20.019825000000001</v>
      </c>
      <c r="E359" s="63"/>
      <c r="F359" s="65"/>
      <c r="G359" s="64">
        <v>1494</v>
      </c>
      <c r="H359" s="64">
        <f t="shared" si="45"/>
        <v>29909.618550000003</v>
      </c>
      <c r="I359" s="70"/>
    </row>
    <row r="360" spans="1:10" s="60" customFormat="1" ht="30" outlineLevel="1" x14ac:dyDescent="0.25">
      <c r="A360" s="59"/>
      <c r="B360" s="61" t="s">
        <v>359</v>
      </c>
      <c r="C360" s="27" t="s">
        <v>163</v>
      </c>
      <c r="D360" s="160">
        <f>8*D356</f>
        <v>3050.64</v>
      </c>
      <c r="E360" s="63"/>
      <c r="F360" s="65"/>
      <c r="G360" s="64">
        <f>118.49/50</f>
        <v>2.3697999999999997</v>
      </c>
      <c r="H360" s="64">
        <f t="shared" si="45"/>
        <v>7229.4066719999992</v>
      </c>
      <c r="I360" s="70"/>
    </row>
    <row r="361" spans="1:10" s="60" customFormat="1" ht="15" customHeight="1" outlineLevel="1" x14ac:dyDescent="0.25">
      <c r="A361" s="59"/>
      <c r="B361" s="61" t="s">
        <v>162</v>
      </c>
      <c r="C361" s="27" t="s">
        <v>47</v>
      </c>
      <c r="D361" s="62">
        <f>5*D356</f>
        <v>1906.6499999999999</v>
      </c>
      <c r="E361" s="63"/>
      <c r="F361" s="65"/>
      <c r="G361" s="64">
        <f>G358</f>
        <v>4.46</v>
      </c>
      <c r="H361" s="64">
        <f t="shared" si="45"/>
        <v>8503.6589999999997</v>
      </c>
      <c r="I361" s="70"/>
    </row>
    <row r="362" spans="1:10" s="60" customFormat="1" ht="15" customHeight="1" outlineLevel="1" x14ac:dyDescent="0.25">
      <c r="A362" s="59"/>
      <c r="B362" s="61" t="s">
        <v>164</v>
      </c>
      <c r="C362" s="27" t="s">
        <v>8</v>
      </c>
      <c r="D362" s="62">
        <f>1.1*D356</f>
        <v>419.46300000000002</v>
      </c>
      <c r="E362" s="63"/>
      <c r="F362" s="65"/>
      <c r="G362" s="64">
        <v>16.829999999999998</v>
      </c>
      <c r="H362" s="64">
        <f t="shared" si="45"/>
        <v>7059.5622899999998</v>
      </c>
      <c r="I362" s="70"/>
    </row>
    <row r="363" spans="1:10" x14ac:dyDescent="0.25">
      <c r="A363" s="99" t="s">
        <v>361</v>
      </c>
      <c r="B363" s="42" t="s">
        <v>142</v>
      </c>
      <c r="C363" s="37" t="s">
        <v>8</v>
      </c>
      <c r="D363" s="39">
        <f>381.33</f>
        <v>381.33</v>
      </c>
      <c r="E363" s="39">
        <v>50</v>
      </c>
      <c r="F363" s="39">
        <f>D363*E363</f>
        <v>19066.5</v>
      </c>
      <c r="G363" s="39">
        <f>H363/D363</f>
        <v>13.1332325</v>
      </c>
      <c r="H363" s="39">
        <f>SUM(H364:H366)</f>
        <v>5008.0955492249996</v>
      </c>
      <c r="I363" s="100">
        <f>F363+H363</f>
        <v>24074.595549225</v>
      </c>
    </row>
    <row r="364" spans="1:10" x14ac:dyDescent="0.25">
      <c r="A364" s="99"/>
      <c r="B364" s="26" t="s">
        <v>52</v>
      </c>
      <c r="C364" s="27" t="s">
        <v>47</v>
      </c>
      <c r="D364" s="16">
        <f>D363*0.15</f>
        <v>57.199499999999993</v>
      </c>
      <c r="E364" s="10"/>
      <c r="F364" s="10"/>
      <c r="G364" s="16">
        <f>6.605*1.03</f>
        <v>6.8031500000000005</v>
      </c>
      <c r="H364" s="17">
        <f>D364*G364</f>
        <v>389.13677842499999</v>
      </c>
      <c r="I364" s="115"/>
    </row>
    <row r="365" spans="1:10" ht="14.25" customHeight="1" x14ac:dyDescent="0.25">
      <c r="A365" s="99"/>
      <c r="B365" s="14" t="s">
        <v>252</v>
      </c>
      <c r="C365" s="9" t="s">
        <v>47</v>
      </c>
      <c r="D365" s="16">
        <f>D363*1.8</f>
        <v>686.39400000000001</v>
      </c>
      <c r="E365" s="10"/>
      <c r="F365" s="10"/>
      <c r="G365" s="16">
        <f>81.95/30</f>
        <v>2.7316666666666669</v>
      </c>
      <c r="H365" s="17">
        <f t="shared" ref="H365:H366" si="46">D365*G365</f>
        <v>1874.9996100000001</v>
      </c>
      <c r="I365" s="115"/>
      <c r="J365" s="1">
        <v>81.95</v>
      </c>
    </row>
    <row r="366" spans="1:10" ht="14.25" customHeight="1" x14ac:dyDescent="0.25">
      <c r="A366" s="99"/>
      <c r="B366" s="14" t="s">
        <v>141</v>
      </c>
      <c r="C366" s="9" t="s">
        <v>47</v>
      </c>
      <c r="D366" s="16">
        <f>D363*1.3</f>
        <v>495.72899999999998</v>
      </c>
      <c r="E366" s="10"/>
      <c r="F366" s="10"/>
      <c r="G366" s="16">
        <f>138.38/25</f>
        <v>5.5351999999999997</v>
      </c>
      <c r="H366" s="17">
        <f t="shared" si="46"/>
        <v>2743.9591607999996</v>
      </c>
      <c r="I366" s="115"/>
      <c r="J366" s="1">
        <v>81.95</v>
      </c>
    </row>
    <row r="367" spans="1:10" ht="28.5" x14ac:dyDescent="0.25">
      <c r="A367" s="99" t="s">
        <v>383</v>
      </c>
      <c r="B367" s="42" t="s">
        <v>160</v>
      </c>
      <c r="C367" s="32" t="s">
        <v>8</v>
      </c>
      <c r="D367" s="161">
        <v>3488.8</v>
      </c>
      <c r="E367" s="39">
        <v>57</v>
      </c>
      <c r="F367" s="39">
        <f>D367*E367</f>
        <v>198861.6</v>
      </c>
      <c r="G367" s="39">
        <f>H367/D367</f>
        <v>21.593139166666671</v>
      </c>
      <c r="H367" s="39">
        <f>SUM(H368:H371)</f>
        <v>75334.143924666685</v>
      </c>
      <c r="I367" s="100">
        <f>F367+H367</f>
        <v>274195.74392466666</v>
      </c>
    </row>
    <row r="368" spans="1:10" x14ac:dyDescent="0.25">
      <c r="A368" s="99"/>
      <c r="B368" s="26" t="s">
        <v>52</v>
      </c>
      <c r="C368" s="27" t="s">
        <v>47</v>
      </c>
      <c r="D368" s="16">
        <f>D367*0.15</f>
        <v>523.32000000000005</v>
      </c>
      <c r="E368" s="39"/>
      <c r="F368" s="39"/>
      <c r="G368" s="16">
        <f>6.605*1.03</f>
        <v>6.8031500000000005</v>
      </c>
      <c r="H368" s="17">
        <f>D368*G368</f>
        <v>3560.2244580000006</v>
      </c>
      <c r="I368" s="115"/>
    </row>
    <row r="369" spans="1:9" ht="15" customHeight="1" x14ac:dyDescent="0.25">
      <c r="A369" s="99"/>
      <c r="B369" s="56" t="s">
        <v>136</v>
      </c>
      <c r="C369" s="9" t="s">
        <v>47</v>
      </c>
      <c r="D369" s="16">
        <f>D367*4</f>
        <v>13955.2</v>
      </c>
      <c r="E369" s="16"/>
      <c r="F369" s="16"/>
      <c r="G369" s="16">
        <f>79.67/30</f>
        <v>2.6556666666666668</v>
      </c>
      <c r="H369" s="17">
        <f t="shared" ref="H369:H371" si="47">D369*G369</f>
        <v>37060.359466666669</v>
      </c>
      <c r="I369" s="115"/>
    </row>
    <row r="370" spans="1:9" ht="14.25" customHeight="1" x14ac:dyDescent="0.25">
      <c r="A370" s="99"/>
      <c r="B370" s="14" t="s">
        <v>145</v>
      </c>
      <c r="C370" s="9" t="s">
        <v>144</v>
      </c>
      <c r="D370" s="16">
        <f>D367*0.3</f>
        <v>1046.6400000000001</v>
      </c>
      <c r="E370" s="10"/>
      <c r="F370" s="10"/>
      <c r="G370" s="16">
        <v>27.5</v>
      </c>
      <c r="H370" s="17">
        <f t="shared" si="47"/>
        <v>28782.600000000002</v>
      </c>
      <c r="I370" s="115"/>
    </row>
    <row r="371" spans="1:9" ht="14.25" customHeight="1" x14ac:dyDescent="0.25">
      <c r="A371" s="99"/>
      <c r="B371" s="14" t="s">
        <v>262</v>
      </c>
      <c r="C371" s="9" t="s">
        <v>222</v>
      </c>
      <c r="D371" s="16">
        <f>D367*1</f>
        <v>3488.8</v>
      </c>
      <c r="E371" s="10"/>
      <c r="F371" s="10"/>
      <c r="G371" s="16">
        <v>1.7</v>
      </c>
      <c r="H371" s="17">
        <f t="shared" si="47"/>
        <v>5930.96</v>
      </c>
      <c r="I371" s="115"/>
    </row>
    <row r="372" spans="1:9" s="5" customFormat="1" ht="14.45" customHeight="1" x14ac:dyDescent="0.25">
      <c r="A372" s="143" t="s">
        <v>205</v>
      </c>
      <c r="B372" s="11" t="s">
        <v>48</v>
      </c>
      <c r="C372" s="43"/>
      <c r="D372" s="12"/>
      <c r="E372" s="13"/>
      <c r="F372" s="13"/>
      <c r="G372" s="13"/>
      <c r="H372" s="13"/>
      <c r="I372" s="117"/>
    </row>
    <row r="373" spans="1:9" x14ac:dyDescent="0.25">
      <c r="A373" s="99" t="s">
        <v>206</v>
      </c>
      <c r="B373" s="42" t="s">
        <v>140</v>
      </c>
      <c r="C373" s="32" t="s">
        <v>8</v>
      </c>
      <c r="D373" s="34">
        <v>6332.54</v>
      </c>
      <c r="E373" s="39">
        <v>55</v>
      </c>
      <c r="F373" s="39">
        <f>D373*E373</f>
        <v>348289.7</v>
      </c>
      <c r="G373" s="39">
        <f>H373/D373</f>
        <v>59.340473644859813</v>
      </c>
      <c r="H373" s="39">
        <f>SUM(H374:H378)</f>
        <v>375775.92297502054</v>
      </c>
      <c r="I373" s="100">
        <f>F373+H373</f>
        <v>724065.62297502055</v>
      </c>
    </row>
    <row r="374" spans="1:9" ht="15" customHeight="1" x14ac:dyDescent="0.25">
      <c r="A374" s="99"/>
      <c r="B374" s="56" t="s">
        <v>136</v>
      </c>
      <c r="C374" s="9" t="s">
        <v>29</v>
      </c>
      <c r="D374" s="16">
        <f>D373*17/30</f>
        <v>3588.4393333333333</v>
      </c>
      <c r="E374" s="16"/>
      <c r="F374" s="16"/>
      <c r="G374" s="16">
        <v>79.67</v>
      </c>
      <c r="H374" s="17">
        <f>D374*G374</f>
        <v>285890.96168666665</v>
      </c>
      <c r="I374" s="115"/>
    </row>
    <row r="375" spans="1:9" s="18" customFormat="1" outlineLevel="1" x14ac:dyDescent="0.25">
      <c r="A375" s="105"/>
      <c r="B375" s="57" t="s">
        <v>133</v>
      </c>
      <c r="C375" s="9" t="s">
        <v>29</v>
      </c>
      <c r="D375" s="8">
        <f>D373*0.1/15</f>
        <v>42.216933333333337</v>
      </c>
      <c r="E375" s="17"/>
      <c r="F375" s="17"/>
      <c r="G375" s="17">
        <v>1239</v>
      </c>
      <c r="H375" s="17">
        <f t="shared" ref="H375:H378" si="48">D375*G375</f>
        <v>52306.780400000003</v>
      </c>
      <c r="I375" s="98"/>
    </row>
    <row r="376" spans="1:9" s="18" customFormat="1" outlineLevel="1" x14ac:dyDescent="0.25">
      <c r="A376" s="105"/>
      <c r="B376" s="56" t="s">
        <v>134</v>
      </c>
      <c r="C376" s="9" t="s">
        <v>29</v>
      </c>
      <c r="D376" s="8">
        <f>D373/0.856/3</f>
        <v>2465.9423676012461</v>
      </c>
      <c r="E376" s="17"/>
      <c r="F376" s="17"/>
      <c r="G376" s="17">
        <v>4.7300000000000004</v>
      </c>
      <c r="H376" s="17">
        <f t="shared" si="48"/>
        <v>11663.907398753896</v>
      </c>
      <c r="I376" s="98"/>
    </row>
    <row r="377" spans="1:9" ht="15" customHeight="1" x14ac:dyDescent="0.25">
      <c r="A377" s="99"/>
      <c r="B377" s="56" t="s">
        <v>137</v>
      </c>
      <c r="C377" s="9" t="s">
        <v>29</v>
      </c>
      <c r="D377" s="16">
        <f>D373*0.3/3</f>
        <v>633.25400000000002</v>
      </c>
      <c r="E377" s="16"/>
      <c r="F377" s="16"/>
      <c r="G377" s="54">
        <f>21.84*1.02</f>
        <v>22.276800000000001</v>
      </c>
      <c r="H377" s="17">
        <f t="shared" si="48"/>
        <v>14106.872707200002</v>
      </c>
      <c r="I377" s="115"/>
    </row>
    <row r="378" spans="1:9" x14ac:dyDescent="0.25">
      <c r="A378" s="99"/>
      <c r="B378" s="56" t="s">
        <v>146</v>
      </c>
      <c r="C378" s="9" t="s">
        <v>29</v>
      </c>
      <c r="D378" s="8">
        <f>D373*0.2/50</f>
        <v>25.330159999999999</v>
      </c>
      <c r="E378" s="17"/>
      <c r="F378" s="17"/>
      <c r="G378" s="17">
        <f>457*1.02</f>
        <v>466.14</v>
      </c>
      <c r="H378" s="17">
        <f t="shared" si="48"/>
        <v>11807.4007824</v>
      </c>
      <c r="I378" s="115"/>
    </row>
    <row r="379" spans="1:9" ht="28.5" x14ac:dyDescent="0.25">
      <c r="A379" s="99" t="s">
        <v>207</v>
      </c>
      <c r="B379" s="42" t="s">
        <v>160</v>
      </c>
      <c r="C379" s="32" t="s">
        <v>8</v>
      </c>
      <c r="D379" s="34">
        <v>6098.03</v>
      </c>
      <c r="E379" s="39">
        <v>57</v>
      </c>
      <c r="F379" s="39">
        <f>D379*E379</f>
        <v>347587.70999999996</v>
      </c>
      <c r="G379" s="39">
        <f>H379/D379</f>
        <v>21.490472500000003</v>
      </c>
      <c r="H379" s="39">
        <f>SUM(H380:H383)</f>
        <v>131049.546019175</v>
      </c>
      <c r="I379" s="100">
        <f>F379+H379</f>
        <v>478637.25601917494</v>
      </c>
    </row>
    <row r="380" spans="1:9" x14ac:dyDescent="0.25">
      <c r="A380" s="99"/>
      <c r="B380" s="26" t="s">
        <v>52</v>
      </c>
      <c r="C380" s="27" t="s">
        <v>47</v>
      </c>
      <c r="D380" s="16">
        <f>D379*0.15</f>
        <v>914.70449999999994</v>
      </c>
      <c r="E380" s="39"/>
      <c r="F380" s="39"/>
      <c r="G380" s="16">
        <f>6.605*1.03</f>
        <v>6.8031500000000005</v>
      </c>
      <c r="H380" s="17">
        <f>D380*G380</f>
        <v>6222.8719191749997</v>
      </c>
      <c r="I380" s="115"/>
    </row>
    <row r="381" spans="1:9" ht="15" customHeight="1" x14ac:dyDescent="0.25">
      <c r="A381" s="99"/>
      <c r="B381" s="56" t="s">
        <v>136</v>
      </c>
      <c r="C381" s="9" t="s">
        <v>47</v>
      </c>
      <c r="D381" s="16">
        <f>D379*4</f>
        <v>24392.12</v>
      </c>
      <c r="E381" s="16"/>
      <c r="F381" s="16"/>
      <c r="G381" s="16">
        <f>78.9/30</f>
        <v>2.6300000000000003</v>
      </c>
      <c r="H381" s="17">
        <f t="shared" ref="H381:H383" si="49">D381*G381</f>
        <v>64151.275600000008</v>
      </c>
      <c r="I381" s="115"/>
    </row>
    <row r="382" spans="1:9" ht="14.25" customHeight="1" x14ac:dyDescent="0.25">
      <c r="A382" s="99"/>
      <c r="B382" s="14" t="s">
        <v>145</v>
      </c>
      <c r="C382" s="9" t="s">
        <v>144</v>
      </c>
      <c r="D382" s="16">
        <f>D379*0.3</f>
        <v>1829.4089999999999</v>
      </c>
      <c r="E382" s="10"/>
      <c r="F382" s="10"/>
      <c r="G382" s="16">
        <v>27.5</v>
      </c>
      <c r="H382" s="17">
        <f t="shared" si="49"/>
        <v>50308.747499999998</v>
      </c>
      <c r="I382" s="115"/>
    </row>
    <row r="383" spans="1:9" ht="14.25" customHeight="1" x14ac:dyDescent="0.25">
      <c r="A383" s="99"/>
      <c r="B383" s="14" t="s">
        <v>262</v>
      </c>
      <c r="C383" s="9" t="s">
        <v>222</v>
      </c>
      <c r="D383" s="16">
        <f>D379*1</f>
        <v>6098.03</v>
      </c>
      <c r="E383" s="10"/>
      <c r="F383" s="10"/>
      <c r="G383" s="16">
        <v>1.7</v>
      </c>
      <c r="H383" s="17">
        <f t="shared" si="49"/>
        <v>10366.651</v>
      </c>
      <c r="I383" s="115"/>
    </row>
    <row r="384" spans="1:9" s="5" customFormat="1" ht="14.45" customHeight="1" x14ac:dyDescent="0.25">
      <c r="A384" s="143" t="s">
        <v>208</v>
      </c>
      <c r="B384" s="11" t="s">
        <v>30</v>
      </c>
      <c r="C384" s="43"/>
      <c r="D384" s="12"/>
      <c r="E384" s="13"/>
      <c r="F384" s="13"/>
      <c r="G384" s="13"/>
      <c r="H384" s="13"/>
      <c r="I384" s="117"/>
    </row>
    <row r="385" spans="1:10" ht="28.5" x14ac:dyDescent="0.25">
      <c r="A385" s="99" t="s">
        <v>225</v>
      </c>
      <c r="B385" s="38" t="s">
        <v>177</v>
      </c>
      <c r="C385" s="32" t="s">
        <v>8</v>
      </c>
      <c r="D385" s="34">
        <v>548.08000000000004</v>
      </c>
      <c r="E385" s="39">
        <v>55</v>
      </c>
      <c r="F385" s="39">
        <f>D385*E385</f>
        <v>30144.400000000001</v>
      </c>
      <c r="G385" s="39">
        <f>H385/D385</f>
        <v>49.351480311526473</v>
      </c>
      <c r="H385" s="39">
        <f>SUM(H386:H390)</f>
        <v>27048.55932914143</v>
      </c>
      <c r="I385" s="100">
        <f>F385+H385</f>
        <v>57192.959329141435</v>
      </c>
    </row>
    <row r="386" spans="1:10" ht="15" customHeight="1" x14ac:dyDescent="0.25">
      <c r="A386" s="99"/>
      <c r="B386" s="56" t="s">
        <v>176</v>
      </c>
      <c r="C386" s="9" t="s">
        <v>29</v>
      </c>
      <c r="D386" s="16">
        <f>D385*17*1.4/25</f>
        <v>521.77215999999999</v>
      </c>
      <c r="E386" s="16"/>
      <c r="F386" s="16"/>
      <c r="G386" s="16">
        <v>43.62</v>
      </c>
      <c r="H386" s="17">
        <f>D386*G386</f>
        <v>22759.701619199997</v>
      </c>
      <c r="I386" s="115"/>
    </row>
    <row r="387" spans="1:10" s="18" customFormat="1" outlineLevel="1" x14ac:dyDescent="0.25">
      <c r="A387" s="105"/>
      <c r="B387" s="57" t="s">
        <v>264</v>
      </c>
      <c r="C387" s="9" t="s">
        <v>29</v>
      </c>
      <c r="D387" s="8">
        <f>D385*0.05/20</f>
        <v>1.3702000000000001</v>
      </c>
      <c r="E387" s="17"/>
      <c r="F387" s="17"/>
      <c r="G387" s="17">
        <v>756.44</v>
      </c>
      <c r="H387" s="17">
        <f t="shared" ref="H387:H390" si="50">D387*G387</f>
        <v>1036.4740880000002</v>
      </c>
      <c r="I387" s="98"/>
    </row>
    <row r="388" spans="1:10" s="18" customFormat="1" outlineLevel="1" x14ac:dyDescent="0.25">
      <c r="A388" s="105"/>
      <c r="B388" s="56" t="s">
        <v>134</v>
      </c>
      <c r="C388" s="9" t="s">
        <v>29</v>
      </c>
      <c r="D388" s="8">
        <f>D385/0.856/3</f>
        <v>213.42679127725856</v>
      </c>
      <c r="E388" s="17"/>
      <c r="F388" s="17"/>
      <c r="G388" s="17">
        <v>4.7300000000000004</v>
      </c>
      <c r="H388" s="17">
        <f t="shared" si="50"/>
        <v>1009.5087227414331</v>
      </c>
      <c r="I388" s="98"/>
    </row>
    <row r="389" spans="1:10" ht="15" customHeight="1" x14ac:dyDescent="0.25">
      <c r="A389" s="99"/>
      <c r="B389" s="56" t="s">
        <v>137</v>
      </c>
      <c r="C389" s="9" t="s">
        <v>29</v>
      </c>
      <c r="D389" s="16">
        <f>D385*0.3/3</f>
        <v>54.808</v>
      </c>
      <c r="E389" s="16"/>
      <c r="F389" s="16"/>
      <c r="G389" s="54">
        <f>21.84*1.02</f>
        <v>22.276800000000001</v>
      </c>
      <c r="H389" s="17">
        <f t="shared" si="50"/>
        <v>1220.9468544000001</v>
      </c>
      <c r="I389" s="115"/>
    </row>
    <row r="390" spans="1:10" x14ac:dyDescent="0.25">
      <c r="A390" s="99"/>
      <c r="B390" s="56" t="s">
        <v>146</v>
      </c>
      <c r="C390" s="9" t="s">
        <v>29</v>
      </c>
      <c r="D390" s="8">
        <f>D385*0.2/50</f>
        <v>2.1923200000000005</v>
      </c>
      <c r="E390" s="17"/>
      <c r="F390" s="17"/>
      <c r="G390" s="17">
        <f>457*1.02</f>
        <v>466.14</v>
      </c>
      <c r="H390" s="17">
        <f t="shared" si="50"/>
        <v>1021.9280448000002</v>
      </c>
      <c r="I390" s="115"/>
    </row>
    <row r="391" spans="1:10" x14ac:dyDescent="0.25">
      <c r="A391" s="99" t="s">
        <v>226</v>
      </c>
      <c r="B391" s="38" t="s">
        <v>142</v>
      </c>
      <c r="C391" s="37" t="s">
        <v>8</v>
      </c>
      <c r="D391" s="39">
        <f>D385</f>
        <v>548.08000000000004</v>
      </c>
      <c r="E391" s="39">
        <v>50</v>
      </c>
      <c r="F391" s="39">
        <f>D391*E391</f>
        <v>27404.000000000004</v>
      </c>
      <c r="G391" s="39">
        <f>H391/D391</f>
        <v>13.3474725</v>
      </c>
      <c r="H391" s="39">
        <f>SUM(H392:H394)</f>
        <v>7315.4827278000012</v>
      </c>
      <c r="I391" s="100">
        <f>F391+H391</f>
        <v>34719.482727800001</v>
      </c>
    </row>
    <row r="392" spans="1:10" x14ac:dyDescent="0.25">
      <c r="A392" s="99"/>
      <c r="B392" s="26" t="s">
        <v>52</v>
      </c>
      <c r="C392" s="27" t="s">
        <v>47</v>
      </c>
      <c r="D392" s="16">
        <f>D391*0.15</f>
        <v>82.212000000000003</v>
      </c>
      <c r="E392" s="10"/>
      <c r="F392" s="10"/>
      <c r="G392" s="16">
        <f>6.605*1.03</f>
        <v>6.8031500000000005</v>
      </c>
      <c r="H392" s="17">
        <f>D392*G392</f>
        <v>559.30056780000007</v>
      </c>
      <c r="I392" s="115"/>
    </row>
    <row r="393" spans="1:10" ht="14.25" customHeight="1" x14ac:dyDescent="0.25">
      <c r="A393" s="99"/>
      <c r="B393" s="14" t="s">
        <v>252</v>
      </c>
      <c r="C393" s="9" t="s">
        <v>47</v>
      </c>
      <c r="D393" s="16">
        <f>D391*1.8</f>
        <v>986.5440000000001</v>
      </c>
      <c r="E393" s="10"/>
      <c r="F393" s="10"/>
      <c r="G393" s="16">
        <f>81.95/30</f>
        <v>2.7316666666666669</v>
      </c>
      <c r="H393" s="17">
        <f t="shared" ref="H393:H394" si="51">D393*G393</f>
        <v>2694.9093600000006</v>
      </c>
      <c r="I393" s="115"/>
      <c r="J393" s="1">
        <v>81.95</v>
      </c>
    </row>
    <row r="394" spans="1:10" ht="14.25" customHeight="1" x14ac:dyDescent="0.25">
      <c r="A394" s="99"/>
      <c r="B394" s="14" t="s">
        <v>141</v>
      </c>
      <c r="C394" s="9" t="s">
        <v>47</v>
      </c>
      <c r="D394" s="16">
        <f>D391*1.3</f>
        <v>712.50400000000013</v>
      </c>
      <c r="E394" s="10"/>
      <c r="F394" s="10"/>
      <c r="G394" s="16">
        <v>5.7</v>
      </c>
      <c r="H394" s="17">
        <f t="shared" si="51"/>
        <v>4061.2728000000011</v>
      </c>
      <c r="I394" s="115"/>
      <c r="J394" s="1">
        <v>81.95</v>
      </c>
    </row>
    <row r="395" spans="1:10" ht="28.5" x14ac:dyDescent="0.25">
      <c r="A395" s="99" t="s">
        <v>227</v>
      </c>
      <c r="B395" s="38" t="s">
        <v>178</v>
      </c>
      <c r="C395" s="37" t="s">
        <v>8</v>
      </c>
      <c r="D395" s="39">
        <v>219.23</v>
      </c>
      <c r="E395" s="39">
        <v>35</v>
      </c>
      <c r="F395" s="39">
        <f>D395*E395</f>
        <v>7673.0499999999993</v>
      </c>
      <c r="G395" s="39">
        <f>H395/D395</f>
        <v>11.9704725</v>
      </c>
      <c r="H395" s="39">
        <f>SUM(H396:H397)</f>
        <v>2624.2866861749999</v>
      </c>
      <c r="I395" s="100">
        <f>F395+H395</f>
        <v>10297.336686175</v>
      </c>
    </row>
    <row r="396" spans="1:10" x14ac:dyDescent="0.25">
      <c r="A396" s="99"/>
      <c r="B396" s="26" t="s">
        <v>52</v>
      </c>
      <c r="C396" s="27" t="s">
        <v>47</v>
      </c>
      <c r="D396" s="16">
        <f>D395*0.15</f>
        <v>32.884499999999996</v>
      </c>
      <c r="E396" s="10"/>
      <c r="F396" s="10"/>
      <c r="G396" s="16">
        <f>6.605*1.03</f>
        <v>6.8031500000000005</v>
      </c>
      <c r="H396" s="17">
        <f>D396*G396</f>
        <v>223.718186175</v>
      </c>
      <c r="I396" s="115"/>
    </row>
    <row r="397" spans="1:10" ht="14.25" customHeight="1" x14ac:dyDescent="0.25">
      <c r="A397" s="99"/>
      <c r="B397" s="14" t="s">
        <v>180</v>
      </c>
      <c r="C397" s="9" t="s">
        <v>144</v>
      </c>
      <c r="D397" s="16">
        <f>D395*0.3</f>
        <v>65.768999999999991</v>
      </c>
      <c r="E397" s="10"/>
      <c r="F397" s="10"/>
      <c r="G397" s="16">
        <v>36.5</v>
      </c>
      <c r="H397" s="17">
        <f>D397*G397</f>
        <v>2400.5684999999999</v>
      </c>
      <c r="I397" s="115"/>
    </row>
    <row r="398" spans="1:10" ht="28.5" x14ac:dyDescent="0.25">
      <c r="A398" s="99" t="s">
        <v>294</v>
      </c>
      <c r="B398" s="38" t="s">
        <v>179</v>
      </c>
      <c r="C398" s="37" t="s">
        <v>8</v>
      </c>
      <c r="D398" s="39">
        <v>328.85</v>
      </c>
      <c r="E398" s="39">
        <v>28</v>
      </c>
      <c r="F398" s="39">
        <f>D398*E398</f>
        <v>9207.8000000000011</v>
      </c>
      <c r="G398" s="39">
        <f>H398/D398</f>
        <v>9.2704724999999986</v>
      </c>
      <c r="H398" s="39">
        <f>SUM(H399:H400)</f>
        <v>3048.5948816249997</v>
      </c>
      <c r="I398" s="100">
        <f>F398+H398</f>
        <v>12256.394881625001</v>
      </c>
    </row>
    <row r="399" spans="1:10" x14ac:dyDescent="0.25">
      <c r="A399" s="99"/>
      <c r="B399" s="26" t="s">
        <v>52</v>
      </c>
      <c r="C399" s="27" t="s">
        <v>47</v>
      </c>
      <c r="D399" s="16">
        <f>D398*0.15</f>
        <v>49.327500000000001</v>
      </c>
      <c r="E399" s="10"/>
      <c r="F399" s="10"/>
      <c r="G399" s="16">
        <f>6.605*1.03</f>
        <v>6.8031500000000005</v>
      </c>
      <c r="H399" s="17">
        <f>D399*G399</f>
        <v>335.58238162500004</v>
      </c>
      <c r="I399" s="115"/>
    </row>
    <row r="400" spans="1:10" ht="14.25" customHeight="1" x14ac:dyDescent="0.25">
      <c r="A400" s="99"/>
      <c r="B400" s="14" t="s">
        <v>145</v>
      </c>
      <c r="C400" s="9" t="s">
        <v>144</v>
      </c>
      <c r="D400" s="16">
        <f>D398*0.3</f>
        <v>98.655000000000001</v>
      </c>
      <c r="E400" s="10"/>
      <c r="F400" s="10"/>
      <c r="G400" s="16">
        <v>27.5</v>
      </c>
      <c r="H400" s="17">
        <f>D400*G400</f>
        <v>2713.0124999999998</v>
      </c>
      <c r="I400" s="115"/>
    </row>
    <row r="401" spans="1:10" s="5" customFormat="1" ht="14.45" customHeight="1" x14ac:dyDescent="0.25">
      <c r="A401" s="143" t="s">
        <v>295</v>
      </c>
      <c r="B401" s="11" t="s">
        <v>31</v>
      </c>
      <c r="C401" s="43"/>
      <c r="D401" s="12"/>
      <c r="E401" s="13"/>
      <c r="F401" s="13"/>
      <c r="G401" s="13"/>
      <c r="H401" s="13"/>
      <c r="I401" s="117"/>
    </row>
    <row r="402" spans="1:10" ht="28.5" x14ac:dyDescent="0.25">
      <c r="A402" s="99" t="s">
        <v>296</v>
      </c>
      <c r="B402" s="38" t="s">
        <v>177</v>
      </c>
      <c r="C402" s="32" t="s">
        <v>8</v>
      </c>
      <c r="D402" s="34">
        <v>336.19</v>
      </c>
      <c r="E402" s="39">
        <v>55</v>
      </c>
      <c r="F402" s="39">
        <f>D402*E402</f>
        <v>18490.45</v>
      </c>
      <c r="G402" s="39">
        <f>H402/D402</f>
        <v>49.35148031152648</v>
      </c>
      <c r="H402" s="39">
        <f>SUM(H403:H407)</f>
        <v>16591.474165932086</v>
      </c>
      <c r="I402" s="100">
        <f>F402+H402</f>
        <v>35081.924165932083</v>
      </c>
    </row>
    <row r="403" spans="1:10" ht="15" customHeight="1" x14ac:dyDescent="0.25">
      <c r="A403" s="99"/>
      <c r="B403" s="56" t="s">
        <v>176</v>
      </c>
      <c r="C403" s="9" t="s">
        <v>29</v>
      </c>
      <c r="D403" s="16">
        <f>D402*17*1.4/25</f>
        <v>320.05287999999996</v>
      </c>
      <c r="E403" s="16"/>
      <c r="F403" s="16"/>
      <c r="G403" s="16">
        <v>43.62</v>
      </c>
      <c r="H403" s="17">
        <f>D403*G403</f>
        <v>13960.706625599998</v>
      </c>
      <c r="I403" s="115"/>
    </row>
    <row r="404" spans="1:10" s="18" customFormat="1" outlineLevel="1" x14ac:dyDescent="0.25">
      <c r="A404" s="105"/>
      <c r="B404" s="57" t="s">
        <v>264</v>
      </c>
      <c r="C404" s="9" t="s">
        <v>29</v>
      </c>
      <c r="D404" s="8">
        <f>D402*0.05/20</f>
        <v>0.84047499999999997</v>
      </c>
      <c r="E404" s="17"/>
      <c r="F404" s="17"/>
      <c r="G404" s="17">
        <v>756.44</v>
      </c>
      <c r="H404" s="17">
        <f t="shared" ref="H404:H407" si="52">D404*G404</f>
        <v>635.76890900000001</v>
      </c>
      <c r="I404" s="98"/>
    </row>
    <row r="405" spans="1:10" s="18" customFormat="1" outlineLevel="1" x14ac:dyDescent="0.25">
      <c r="A405" s="105"/>
      <c r="B405" s="56" t="s">
        <v>134</v>
      </c>
      <c r="C405" s="9" t="s">
        <v>29</v>
      </c>
      <c r="D405" s="8">
        <f>D402/0.856/3</f>
        <v>130.91510903426791</v>
      </c>
      <c r="E405" s="17"/>
      <c r="F405" s="17"/>
      <c r="G405" s="17">
        <v>4.7300000000000004</v>
      </c>
      <c r="H405" s="17">
        <f t="shared" si="52"/>
        <v>619.22846573208733</v>
      </c>
      <c r="I405" s="98"/>
    </row>
    <row r="406" spans="1:10" ht="15" customHeight="1" x14ac:dyDescent="0.25">
      <c r="A406" s="99"/>
      <c r="B406" s="56" t="s">
        <v>137</v>
      </c>
      <c r="C406" s="9" t="s">
        <v>29</v>
      </c>
      <c r="D406" s="16">
        <f>D402*0.3/3</f>
        <v>33.619</v>
      </c>
      <c r="E406" s="16"/>
      <c r="F406" s="16"/>
      <c r="G406" s="54">
        <f>21.84*1.02</f>
        <v>22.276800000000001</v>
      </c>
      <c r="H406" s="17">
        <f t="shared" si="52"/>
        <v>748.9237392</v>
      </c>
      <c r="I406" s="115"/>
    </row>
    <row r="407" spans="1:10" x14ac:dyDescent="0.25">
      <c r="A407" s="99"/>
      <c r="B407" s="56" t="s">
        <v>146</v>
      </c>
      <c r="C407" s="9" t="s">
        <v>29</v>
      </c>
      <c r="D407" s="8">
        <f>D402*0.2/50</f>
        <v>1.34476</v>
      </c>
      <c r="E407" s="17"/>
      <c r="F407" s="17"/>
      <c r="G407" s="17">
        <f>457*1.02</f>
        <v>466.14</v>
      </c>
      <c r="H407" s="17">
        <f t="shared" si="52"/>
        <v>626.84642639999993</v>
      </c>
      <c r="I407" s="115"/>
    </row>
    <row r="408" spans="1:10" x14ac:dyDescent="0.25">
      <c r="A408" s="99" t="s">
        <v>297</v>
      </c>
      <c r="B408" s="38" t="s">
        <v>142</v>
      </c>
      <c r="C408" s="37" t="s">
        <v>8</v>
      </c>
      <c r="D408" s="39">
        <f>D402</f>
        <v>336.19</v>
      </c>
      <c r="E408" s="39">
        <v>50</v>
      </c>
      <c r="F408" s="39">
        <f>D408*E408</f>
        <v>16809.5</v>
      </c>
      <c r="G408" s="39">
        <f>H408/D408</f>
        <v>13.133232500000002</v>
      </c>
      <c r="H408" s="39">
        <f>SUM(H409:H411)</f>
        <v>4415.2614341750004</v>
      </c>
      <c r="I408" s="100">
        <f>F408+H408</f>
        <v>21224.761434175001</v>
      </c>
    </row>
    <row r="409" spans="1:10" x14ac:dyDescent="0.25">
      <c r="A409" s="99"/>
      <c r="B409" s="26" t="s">
        <v>52</v>
      </c>
      <c r="C409" s="27" t="s">
        <v>47</v>
      </c>
      <c r="D409" s="16">
        <f>D408*0.15</f>
        <v>50.4285</v>
      </c>
      <c r="E409" s="10"/>
      <c r="F409" s="10"/>
      <c r="G409" s="16">
        <f>6.605*1.03</f>
        <v>6.8031500000000005</v>
      </c>
      <c r="H409" s="17">
        <f>D409*G409</f>
        <v>343.072649775</v>
      </c>
      <c r="I409" s="115"/>
    </row>
    <row r="410" spans="1:10" ht="14.25" customHeight="1" x14ac:dyDescent="0.25">
      <c r="A410" s="99"/>
      <c r="B410" s="14" t="s">
        <v>252</v>
      </c>
      <c r="C410" s="9" t="s">
        <v>47</v>
      </c>
      <c r="D410" s="16">
        <f>D408*1.8</f>
        <v>605.14200000000005</v>
      </c>
      <c r="E410" s="10"/>
      <c r="F410" s="10"/>
      <c r="G410" s="16">
        <f>81.95/30</f>
        <v>2.7316666666666669</v>
      </c>
      <c r="H410" s="17">
        <f t="shared" ref="H410:H411" si="53">D410*G410</f>
        <v>1653.0462300000004</v>
      </c>
      <c r="I410" s="115"/>
      <c r="J410" s="1">
        <v>81.95</v>
      </c>
    </row>
    <row r="411" spans="1:10" ht="14.25" customHeight="1" x14ac:dyDescent="0.25">
      <c r="A411" s="99"/>
      <c r="B411" s="14" t="s">
        <v>141</v>
      </c>
      <c r="C411" s="9" t="s">
        <v>47</v>
      </c>
      <c r="D411" s="16">
        <f>D408*1.3</f>
        <v>437.04700000000003</v>
      </c>
      <c r="E411" s="10"/>
      <c r="F411" s="10"/>
      <c r="G411" s="16">
        <f>138.38/25</f>
        <v>5.5351999999999997</v>
      </c>
      <c r="H411" s="17">
        <f t="shared" si="53"/>
        <v>2419.1425543999999</v>
      </c>
      <c r="I411" s="115"/>
      <c r="J411" s="1">
        <v>81.95</v>
      </c>
    </row>
    <row r="412" spans="1:10" ht="28.5" x14ac:dyDescent="0.25">
      <c r="A412" s="99" t="s">
        <v>298</v>
      </c>
      <c r="B412" s="38" t="s">
        <v>178</v>
      </c>
      <c r="C412" s="37" t="s">
        <v>8</v>
      </c>
      <c r="D412" s="39">
        <v>124.87</v>
      </c>
      <c r="E412" s="39">
        <v>35</v>
      </c>
      <c r="F412" s="39">
        <f>D412*E412</f>
        <v>4370.45</v>
      </c>
      <c r="G412" s="39">
        <f>H412/D412</f>
        <v>11.9704725</v>
      </c>
      <c r="H412" s="39">
        <f>SUM(H413:H414)</f>
        <v>1494.752901075</v>
      </c>
      <c r="I412" s="100">
        <f>F412+H412</f>
        <v>5865.2029010749993</v>
      </c>
    </row>
    <row r="413" spans="1:10" x14ac:dyDescent="0.25">
      <c r="A413" s="99"/>
      <c r="B413" s="26" t="s">
        <v>52</v>
      </c>
      <c r="C413" s="27" t="s">
        <v>47</v>
      </c>
      <c r="D413" s="16">
        <f>D412*0.15</f>
        <v>18.730499999999999</v>
      </c>
      <c r="E413" s="10"/>
      <c r="F413" s="10"/>
      <c r="G413" s="16">
        <f>6.605*1.03</f>
        <v>6.8031500000000005</v>
      </c>
      <c r="H413" s="17">
        <f>D413*G413</f>
        <v>127.426401075</v>
      </c>
      <c r="I413" s="115"/>
    </row>
    <row r="414" spans="1:10" ht="14.25" customHeight="1" x14ac:dyDescent="0.25">
      <c r="A414" s="99"/>
      <c r="B414" s="14" t="s">
        <v>180</v>
      </c>
      <c r="C414" s="9" t="s">
        <v>144</v>
      </c>
      <c r="D414" s="16">
        <f>D412*0.3</f>
        <v>37.460999999999999</v>
      </c>
      <c r="E414" s="10"/>
      <c r="F414" s="10"/>
      <c r="G414" s="16">
        <v>36.5</v>
      </c>
      <c r="H414" s="17">
        <f>D414*G414</f>
        <v>1367.3264999999999</v>
      </c>
      <c r="I414" s="115"/>
    </row>
    <row r="415" spans="1:10" ht="28.5" x14ac:dyDescent="0.25">
      <c r="A415" s="99" t="s">
        <v>299</v>
      </c>
      <c r="B415" s="38" t="s">
        <v>179</v>
      </c>
      <c r="C415" s="37" t="s">
        <v>8</v>
      </c>
      <c r="D415" s="39">
        <v>211.32</v>
      </c>
      <c r="E415" s="39">
        <v>28</v>
      </c>
      <c r="F415" s="39">
        <f>D415*E415</f>
        <v>5916.96</v>
      </c>
      <c r="G415" s="39">
        <f>H415/D415</f>
        <v>9.2704724999999986</v>
      </c>
      <c r="H415" s="39">
        <f>SUM(H416:H417)</f>
        <v>1959.0362486999998</v>
      </c>
      <c r="I415" s="100">
        <f>F415+H415</f>
        <v>7875.9962486999993</v>
      </c>
    </row>
    <row r="416" spans="1:10" x14ac:dyDescent="0.25">
      <c r="A416" s="99"/>
      <c r="B416" s="26" t="s">
        <v>52</v>
      </c>
      <c r="C416" s="27" t="s">
        <v>47</v>
      </c>
      <c r="D416" s="16">
        <f>D415*0.15</f>
        <v>31.697999999999997</v>
      </c>
      <c r="E416" s="10"/>
      <c r="F416" s="10"/>
      <c r="G416" s="16">
        <f>6.605*1.03</f>
        <v>6.8031500000000005</v>
      </c>
      <c r="H416" s="17">
        <f>D416*G416</f>
        <v>215.6462487</v>
      </c>
      <c r="I416" s="115"/>
    </row>
    <row r="417" spans="1:10" ht="14.25" customHeight="1" x14ac:dyDescent="0.25">
      <c r="A417" s="99"/>
      <c r="B417" s="14" t="s">
        <v>145</v>
      </c>
      <c r="C417" s="9" t="s">
        <v>144</v>
      </c>
      <c r="D417" s="16">
        <f>D415*0.3</f>
        <v>63.395999999999994</v>
      </c>
      <c r="E417" s="10"/>
      <c r="F417" s="10"/>
      <c r="G417" s="16">
        <v>27.5</v>
      </c>
      <c r="H417" s="17">
        <f>D417*G417</f>
        <v>1743.3899999999999</v>
      </c>
      <c r="I417" s="115"/>
    </row>
    <row r="418" spans="1:10" s="5" customFormat="1" ht="14.45" customHeight="1" x14ac:dyDescent="0.25">
      <c r="A418" s="143" t="s">
        <v>229</v>
      </c>
      <c r="B418" s="11" t="s">
        <v>32</v>
      </c>
      <c r="C418" s="43"/>
      <c r="D418" s="12"/>
      <c r="E418" s="13"/>
      <c r="F418" s="13"/>
      <c r="G418" s="13"/>
      <c r="H418" s="13"/>
      <c r="I418" s="117"/>
    </row>
    <row r="419" spans="1:10" ht="28.5" x14ac:dyDescent="0.25">
      <c r="A419" s="99" t="s">
        <v>230</v>
      </c>
      <c r="B419" s="38" t="s">
        <v>177</v>
      </c>
      <c r="C419" s="32" t="s">
        <v>8</v>
      </c>
      <c r="D419" s="34">
        <v>741.3</v>
      </c>
      <c r="E419" s="39">
        <v>55</v>
      </c>
      <c r="F419" s="39">
        <f>D419*E419</f>
        <v>40771.5</v>
      </c>
      <c r="G419" s="39">
        <f>H419/D419</f>
        <v>49.351480311526466</v>
      </c>
      <c r="H419" s="39">
        <f>SUM(H420:H424)</f>
        <v>36584.252354934564</v>
      </c>
      <c r="I419" s="100">
        <f>F419+H419</f>
        <v>77355.752354934564</v>
      </c>
    </row>
    <row r="420" spans="1:10" ht="15" customHeight="1" x14ac:dyDescent="0.25">
      <c r="A420" s="99"/>
      <c r="B420" s="56" t="s">
        <v>176</v>
      </c>
      <c r="C420" s="9" t="s">
        <v>29</v>
      </c>
      <c r="D420" s="16">
        <f>D419*17*1.4/25</f>
        <v>705.71759999999983</v>
      </c>
      <c r="E420" s="16"/>
      <c r="F420" s="16"/>
      <c r="G420" s="16">
        <v>43.62</v>
      </c>
      <c r="H420" s="17">
        <f>D420*G420</f>
        <v>30783.401711999992</v>
      </c>
      <c r="I420" s="115"/>
    </row>
    <row r="421" spans="1:10" s="18" customFormat="1" outlineLevel="1" x14ac:dyDescent="0.25">
      <c r="A421" s="105"/>
      <c r="B421" s="57" t="s">
        <v>264</v>
      </c>
      <c r="C421" s="9" t="s">
        <v>29</v>
      </c>
      <c r="D421" s="8">
        <f>D419*0.05/20</f>
        <v>1.8532499999999998</v>
      </c>
      <c r="E421" s="17"/>
      <c r="F421" s="17"/>
      <c r="G421" s="17">
        <v>756.44</v>
      </c>
      <c r="H421" s="17">
        <f t="shared" ref="H421:H424" si="54">D421*G421</f>
        <v>1401.8724299999999</v>
      </c>
      <c r="I421" s="98"/>
    </row>
    <row r="422" spans="1:10" s="18" customFormat="1" outlineLevel="1" x14ac:dyDescent="0.25">
      <c r="A422" s="105"/>
      <c r="B422" s="56" t="s">
        <v>134</v>
      </c>
      <c r="C422" s="9" t="s">
        <v>29</v>
      </c>
      <c r="D422" s="8">
        <f>D419/0.856/3</f>
        <v>288.6682242990654</v>
      </c>
      <c r="E422" s="17"/>
      <c r="F422" s="17"/>
      <c r="G422" s="17">
        <v>4.7300000000000004</v>
      </c>
      <c r="H422" s="17">
        <f t="shared" si="54"/>
        <v>1365.4007009345794</v>
      </c>
      <c r="I422" s="98"/>
    </row>
    <row r="423" spans="1:10" ht="15" customHeight="1" x14ac:dyDescent="0.25">
      <c r="A423" s="99"/>
      <c r="B423" s="56" t="s">
        <v>137</v>
      </c>
      <c r="C423" s="9" t="s">
        <v>29</v>
      </c>
      <c r="D423" s="16">
        <f>D419*0.3/3</f>
        <v>74.13</v>
      </c>
      <c r="E423" s="16"/>
      <c r="F423" s="16"/>
      <c r="G423" s="54">
        <f>21.84*1.02</f>
        <v>22.276800000000001</v>
      </c>
      <c r="H423" s="17">
        <f t="shared" si="54"/>
        <v>1651.3791839999999</v>
      </c>
      <c r="I423" s="115"/>
    </row>
    <row r="424" spans="1:10" x14ac:dyDescent="0.25">
      <c r="A424" s="99"/>
      <c r="B424" s="56" t="s">
        <v>146</v>
      </c>
      <c r="C424" s="9" t="s">
        <v>29</v>
      </c>
      <c r="D424" s="8">
        <f>D419*0.2/50</f>
        <v>2.9651999999999998</v>
      </c>
      <c r="E424" s="17"/>
      <c r="F424" s="17"/>
      <c r="G424" s="17">
        <f>457*1.02</f>
        <v>466.14</v>
      </c>
      <c r="H424" s="17">
        <f t="shared" si="54"/>
        <v>1382.1983279999999</v>
      </c>
      <c r="I424" s="115"/>
    </row>
    <row r="425" spans="1:10" x14ac:dyDescent="0.25">
      <c r="A425" s="99" t="s">
        <v>231</v>
      </c>
      <c r="B425" s="38" t="s">
        <v>142</v>
      </c>
      <c r="C425" s="37" t="s">
        <v>8</v>
      </c>
      <c r="D425" s="39">
        <f>D419</f>
        <v>741.3</v>
      </c>
      <c r="E425" s="39">
        <v>50</v>
      </c>
      <c r="F425" s="39">
        <f>D425*E425</f>
        <v>37065</v>
      </c>
      <c r="G425" s="39">
        <f>H425/D425</f>
        <v>13.3474725</v>
      </c>
      <c r="H425" s="39">
        <f>SUM(H426:H428)</f>
        <v>9894.4813642499994</v>
      </c>
      <c r="I425" s="100">
        <f>F425+H425</f>
        <v>46959.481364250001</v>
      </c>
    </row>
    <row r="426" spans="1:10" x14ac:dyDescent="0.25">
      <c r="A426" s="99"/>
      <c r="B426" s="26" t="s">
        <v>52</v>
      </c>
      <c r="C426" s="27" t="s">
        <v>47</v>
      </c>
      <c r="D426" s="16">
        <f>D425*0.15</f>
        <v>111.19499999999999</v>
      </c>
      <c r="E426" s="10"/>
      <c r="F426" s="10"/>
      <c r="G426" s="16">
        <f>6.605*1.03</f>
        <v>6.8031500000000005</v>
      </c>
      <c r="H426" s="17">
        <f>D426*G426</f>
        <v>756.47626424999999</v>
      </c>
      <c r="I426" s="115"/>
    </row>
    <row r="427" spans="1:10" ht="14.25" customHeight="1" x14ac:dyDescent="0.25">
      <c r="A427" s="99"/>
      <c r="B427" s="14" t="s">
        <v>252</v>
      </c>
      <c r="C427" s="9" t="s">
        <v>47</v>
      </c>
      <c r="D427" s="16">
        <f>D425*1.8</f>
        <v>1334.34</v>
      </c>
      <c r="E427" s="10"/>
      <c r="F427" s="10"/>
      <c r="G427" s="16">
        <f>81.95/30</f>
        <v>2.7316666666666669</v>
      </c>
      <c r="H427" s="17">
        <f t="shared" ref="H427:H428" si="55">D427*G427</f>
        <v>3644.9721</v>
      </c>
      <c r="I427" s="115"/>
      <c r="J427" s="1">
        <v>81.95</v>
      </c>
    </row>
    <row r="428" spans="1:10" ht="14.25" customHeight="1" x14ac:dyDescent="0.25">
      <c r="A428" s="99"/>
      <c r="B428" s="14" t="s">
        <v>141</v>
      </c>
      <c r="C428" s="9" t="s">
        <v>47</v>
      </c>
      <c r="D428" s="16">
        <f>D425*1.3</f>
        <v>963.68999999999994</v>
      </c>
      <c r="E428" s="10"/>
      <c r="F428" s="10"/>
      <c r="G428" s="16">
        <v>5.7</v>
      </c>
      <c r="H428" s="17">
        <f t="shared" si="55"/>
        <v>5493.0329999999994</v>
      </c>
      <c r="I428" s="115"/>
      <c r="J428" s="1">
        <v>81.95</v>
      </c>
    </row>
    <row r="429" spans="1:10" ht="28.5" x14ac:dyDescent="0.25">
      <c r="A429" s="99" t="s">
        <v>228</v>
      </c>
      <c r="B429" s="38" t="s">
        <v>178</v>
      </c>
      <c r="C429" s="37" t="s">
        <v>8</v>
      </c>
      <c r="D429" s="39">
        <v>236.12</v>
      </c>
      <c r="E429" s="39">
        <v>35</v>
      </c>
      <c r="F429" s="39">
        <f>D429*E429</f>
        <v>8264.2000000000007</v>
      </c>
      <c r="G429" s="39">
        <f>H429/D429</f>
        <v>11.9704725</v>
      </c>
      <c r="H429" s="39">
        <f>SUM(H430:H431)</f>
        <v>2826.4679667</v>
      </c>
      <c r="I429" s="100">
        <f>F429+H429</f>
        <v>11090.667966700001</v>
      </c>
    </row>
    <row r="430" spans="1:10" x14ac:dyDescent="0.25">
      <c r="A430" s="99"/>
      <c r="B430" s="26" t="s">
        <v>52</v>
      </c>
      <c r="C430" s="27" t="s">
        <v>47</v>
      </c>
      <c r="D430" s="16">
        <f>D429*0.15</f>
        <v>35.417999999999999</v>
      </c>
      <c r="E430" s="10"/>
      <c r="F430" s="10"/>
      <c r="G430" s="16">
        <f>6.605*1.03</f>
        <v>6.8031500000000005</v>
      </c>
      <c r="H430" s="17">
        <f>D430*G430</f>
        <v>240.95396670000002</v>
      </c>
      <c r="I430" s="115"/>
    </row>
    <row r="431" spans="1:10" ht="14.25" customHeight="1" x14ac:dyDescent="0.25">
      <c r="A431" s="99"/>
      <c r="B431" s="14" t="s">
        <v>180</v>
      </c>
      <c r="C431" s="9" t="s">
        <v>144</v>
      </c>
      <c r="D431" s="16">
        <f>D429*0.3</f>
        <v>70.835999999999999</v>
      </c>
      <c r="E431" s="10"/>
      <c r="F431" s="10"/>
      <c r="G431" s="16">
        <v>36.5</v>
      </c>
      <c r="H431" s="17">
        <f>D431*G431</f>
        <v>2585.5140000000001</v>
      </c>
      <c r="I431" s="115"/>
    </row>
    <row r="432" spans="1:10" ht="28.5" x14ac:dyDescent="0.25">
      <c r="A432" s="99" t="s">
        <v>384</v>
      </c>
      <c r="B432" s="38" t="s">
        <v>179</v>
      </c>
      <c r="C432" s="37" t="s">
        <v>8</v>
      </c>
      <c r="D432" s="39">
        <v>505.19</v>
      </c>
      <c r="E432" s="39">
        <v>28</v>
      </c>
      <c r="F432" s="39">
        <f>D432*E432</f>
        <v>14145.32</v>
      </c>
      <c r="G432" s="39">
        <f>H432/D432</f>
        <v>9.2704725000000003</v>
      </c>
      <c r="H432" s="39">
        <f>SUM(H433:H434)</f>
        <v>4683.3500022750004</v>
      </c>
      <c r="I432" s="100">
        <f>F432+H432</f>
        <v>18828.670002275001</v>
      </c>
    </row>
    <row r="433" spans="1:10" x14ac:dyDescent="0.25">
      <c r="A433" s="99"/>
      <c r="B433" s="26" t="s">
        <v>52</v>
      </c>
      <c r="C433" s="27" t="s">
        <v>47</v>
      </c>
      <c r="D433" s="16">
        <f>D432*0.15</f>
        <v>75.778499999999994</v>
      </c>
      <c r="E433" s="10"/>
      <c r="F433" s="10"/>
      <c r="G433" s="16">
        <f>6.605*1.03</f>
        <v>6.8031500000000005</v>
      </c>
      <c r="H433" s="17">
        <f>D433*G433</f>
        <v>515.53250227499996</v>
      </c>
      <c r="I433" s="115"/>
    </row>
    <row r="434" spans="1:10" ht="14.25" customHeight="1" x14ac:dyDescent="0.25">
      <c r="A434" s="99"/>
      <c r="B434" s="14" t="s">
        <v>145</v>
      </c>
      <c r="C434" s="9" t="s">
        <v>144</v>
      </c>
      <c r="D434" s="16">
        <f>D432*0.3</f>
        <v>151.55699999999999</v>
      </c>
      <c r="E434" s="10"/>
      <c r="F434" s="10"/>
      <c r="G434" s="16">
        <v>27.5</v>
      </c>
      <c r="H434" s="17">
        <f>D434*G434</f>
        <v>4167.8175000000001</v>
      </c>
      <c r="I434" s="115"/>
    </row>
    <row r="435" spans="1:10" s="5" customFormat="1" ht="14.45" customHeight="1" x14ac:dyDescent="0.25">
      <c r="A435" s="143" t="s">
        <v>232</v>
      </c>
      <c r="B435" s="11" t="s">
        <v>33</v>
      </c>
      <c r="C435" s="43"/>
      <c r="D435" s="12"/>
      <c r="E435" s="13"/>
      <c r="F435" s="13"/>
      <c r="G435" s="13"/>
      <c r="H435" s="13"/>
      <c r="I435" s="117"/>
    </row>
    <row r="436" spans="1:10" ht="28.5" x14ac:dyDescent="0.25">
      <c r="A436" s="99" t="s">
        <v>233</v>
      </c>
      <c r="B436" s="38" t="s">
        <v>177</v>
      </c>
      <c r="C436" s="32" t="s">
        <v>8</v>
      </c>
      <c r="D436" s="34">
        <v>937.61</v>
      </c>
      <c r="E436" s="39">
        <v>55</v>
      </c>
      <c r="F436" s="39">
        <f>D436*E436</f>
        <v>51568.55</v>
      </c>
      <c r="G436" s="39">
        <f>H436/D436</f>
        <v>49.351480311526466</v>
      </c>
      <c r="H436" s="39">
        <f>SUM(H437:H441)</f>
        <v>46272.44145489033</v>
      </c>
      <c r="I436" s="100">
        <f>F436+H436</f>
        <v>97840.991454890333</v>
      </c>
    </row>
    <row r="437" spans="1:10" ht="15" customHeight="1" x14ac:dyDescent="0.25">
      <c r="A437" s="99"/>
      <c r="B437" s="56" t="s">
        <v>176</v>
      </c>
      <c r="C437" s="9" t="s">
        <v>29</v>
      </c>
      <c r="D437" s="16">
        <f>D436*17*1.4/25</f>
        <v>892.60471999999993</v>
      </c>
      <c r="E437" s="16"/>
      <c r="F437" s="16"/>
      <c r="G437" s="16">
        <v>43.62</v>
      </c>
      <c r="H437" s="17">
        <f>D437*G437</f>
        <v>38935.417886399991</v>
      </c>
      <c r="I437" s="115"/>
    </row>
    <row r="438" spans="1:10" s="18" customFormat="1" outlineLevel="1" x14ac:dyDescent="0.25">
      <c r="A438" s="105"/>
      <c r="B438" s="57" t="s">
        <v>264</v>
      </c>
      <c r="C438" s="9" t="s">
        <v>29</v>
      </c>
      <c r="D438" s="8">
        <f>D436*0.05/20</f>
        <v>2.3440250000000002</v>
      </c>
      <c r="E438" s="17"/>
      <c r="F438" s="17"/>
      <c r="G438" s="17">
        <v>756.44</v>
      </c>
      <c r="H438" s="17">
        <f t="shared" ref="H438:H441" si="56">D438*G438</f>
        <v>1773.1142710000004</v>
      </c>
      <c r="I438" s="98"/>
    </row>
    <row r="439" spans="1:10" s="18" customFormat="1" outlineLevel="1" x14ac:dyDescent="0.25">
      <c r="A439" s="105"/>
      <c r="B439" s="56" t="s">
        <v>134</v>
      </c>
      <c r="C439" s="9" t="s">
        <v>29</v>
      </c>
      <c r="D439" s="8">
        <f>D436/0.856/3</f>
        <v>365.11292834890969</v>
      </c>
      <c r="E439" s="17"/>
      <c r="F439" s="17"/>
      <c r="G439" s="17">
        <v>4.7300000000000004</v>
      </c>
      <c r="H439" s="17">
        <f t="shared" si="56"/>
        <v>1726.9841510903429</v>
      </c>
      <c r="I439" s="98"/>
    </row>
    <row r="440" spans="1:10" ht="15" customHeight="1" x14ac:dyDescent="0.25">
      <c r="A440" s="99"/>
      <c r="B440" s="56" t="s">
        <v>137</v>
      </c>
      <c r="C440" s="9" t="s">
        <v>29</v>
      </c>
      <c r="D440" s="16">
        <f>D436*0.3/3</f>
        <v>93.76100000000001</v>
      </c>
      <c r="E440" s="16"/>
      <c r="F440" s="16"/>
      <c r="G440" s="54">
        <f>21.84*1.02</f>
        <v>22.276800000000001</v>
      </c>
      <c r="H440" s="17">
        <f t="shared" si="56"/>
        <v>2088.6950448000002</v>
      </c>
      <c r="I440" s="115"/>
    </row>
    <row r="441" spans="1:10" x14ac:dyDescent="0.25">
      <c r="A441" s="99"/>
      <c r="B441" s="56" t="s">
        <v>146</v>
      </c>
      <c r="C441" s="9" t="s">
        <v>29</v>
      </c>
      <c r="D441" s="8">
        <f>D436*0.2/50</f>
        <v>3.7504400000000002</v>
      </c>
      <c r="E441" s="17"/>
      <c r="F441" s="17"/>
      <c r="G441" s="17">
        <f>457*1.02</f>
        <v>466.14</v>
      </c>
      <c r="H441" s="17">
        <f t="shared" si="56"/>
        <v>1748.2301016000001</v>
      </c>
      <c r="I441" s="115"/>
    </row>
    <row r="442" spans="1:10" x14ac:dyDescent="0.25">
      <c r="A442" s="99" t="s">
        <v>234</v>
      </c>
      <c r="B442" s="38" t="s">
        <v>142</v>
      </c>
      <c r="C442" s="37" t="s">
        <v>8</v>
      </c>
      <c r="D442" s="39">
        <f>D436</f>
        <v>937.61</v>
      </c>
      <c r="E442" s="39">
        <v>50</v>
      </c>
      <c r="F442" s="39">
        <f>D442*E442</f>
        <v>46880.5</v>
      </c>
      <c r="G442" s="39">
        <f>H442/D442</f>
        <v>13.133232500000002</v>
      </c>
      <c r="H442" s="39">
        <f>SUM(H443:H445)</f>
        <v>12313.850124325001</v>
      </c>
      <c r="I442" s="100">
        <f>F442+H442</f>
        <v>59194.350124324999</v>
      </c>
    </row>
    <row r="443" spans="1:10" x14ac:dyDescent="0.25">
      <c r="A443" s="99"/>
      <c r="B443" s="26" t="s">
        <v>52</v>
      </c>
      <c r="C443" s="27" t="s">
        <v>47</v>
      </c>
      <c r="D443" s="16">
        <f>D442*0.15</f>
        <v>140.64150000000001</v>
      </c>
      <c r="E443" s="10"/>
      <c r="F443" s="10"/>
      <c r="G443" s="16">
        <f>6.605*1.03</f>
        <v>6.8031500000000005</v>
      </c>
      <c r="H443" s="17">
        <f>D443*G443</f>
        <v>956.80522072500014</v>
      </c>
      <c r="I443" s="115"/>
    </row>
    <row r="444" spans="1:10" ht="14.25" customHeight="1" x14ac:dyDescent="0.25">
      <c r="A444" s="99"/>
      <c r="B444" s="14" t="s">
        <v>252</v>
      </c>
      <c r="C444" s="9" t="s">
        <v>47</v>
      </c>
      <c r="D444" s="16">
        <f>D442*1.8</f>
        <v>1687.6980000000001</v>
      </c>
      <c r="E444" s="10"/>
      <c r="F444" s="10"/>
      <c r="G444" s="16">
        <f>81.95/30</f>
        <v>2.7316666666666669</v>
      </c>
      <c r="H444" s="17">
        <f t="shared" ref="H444:H445" si="57">D444*G444</f>
        <v>4610.2283700000007</v>
      </c>
      <c r="I444" s="115"/>
      <c r="J444" s="1">
        <v>81.95</v>
      </c>
    </row>
    <row r="445" spans="1:10" ht="14.25" customHeight="1" x14ac:dyDescent="0.25">
      <c r="A445" s="99"/>
      <c r="B445" s="14" t="s">
        <v>141</v>
      </c>
      <c r="C445" s="9" t="s">
        <v>47</v>
      </c>
      <c r="D445" s="16">
        <f>D442*1.3</f>
        <v>1218.893</v>
      </c>
      <c r="E445" s="10"/>
      <c r="F445" s="10"/>
      <c r="G445" s="16">
        <f>138.38/25</f>
        <v>5.5351999999999997</v>
      </c>
      <c r="H445" s="17">
        <f t="shared" si="57"/>
        <v>6746.8165336000002</v>
      </c>
      <c r="I445" s="115"/>
      <c r="J445" s="1">
        <v>81.95</v>
      </c>
    </row>
    <row r="446" spans="1:10" x14ac:dyDescent="0.25">
      <c r="A446" s="99" t="s">
        <v>235</v>
      </c>
      <c r="B446" s="38" t="s">
        <v>197</v>
      </c>
      <c r="C446" s="37" t="s">
        <v>8</v>
      </c>
      <c r="D446" s="39">
        <v>937.61</v>
      </c>
      <c r="E446" s="39">
        <v>28</v>
      </c>
      <c r="F446" s="39">
        <f>D446*E446</f>
        <v>26253.08</v>
      </c>
      <c r="G446" s="39">
        <f>H446/D446</f>
        <v>9.2704724999999986</v>
      </c>
      <c r="H446" s="39">
        <f>SUM(H447:H448)</f>
        <v>8692.0877207249996</v>
      </c>
      <c r="I446" s="100">
        <f>F446+H446</f>
        <v>34945.167720725003</v>
      </c>
    </row>
    <row r="447" spans="1:10" x14ac:dyDescent="0.25">
      <c r="A447" s="99"/>
      <c r="B447" s="26" t="s">
        <v>52</v>
      </c>
      <c r="C447" s="27" t="s">
        <v>47</v>
      </c>
      <c r="D447" s="16">
        <f>D446*0.15</f>
        <v>140.64150000000001</v>
      </c>
      <c r="E447" s="10"/>
      <c r="F447" s="10"/>
      <c r="G447" s="16">
        <f>6.605*1.03</f>
        <v>6.8031500000000005</v>
      </c>
      <c r="H447" s="17">
        <f>D447*G447</f>
        <v>956.80522072500014</v>
      </c>
      <c r="I447" s="115"/>
    </row>
    <row r="448" spans="1:10" ht="14.25" customHeight="1" x14ac:dyDescent="0.25">
      <c r="A448" s="99"/>
      <c r="B448" s="14" t="s">
        <v>145</v>
      </c>
      <c r="C448" s="9" t="s">
        <v>144</v>
      </c>
      <c r="D448" s="16">
        <f>D446*0.3</f>
        <v>281.28300000000002</v>
      </c>
      <c r="E448" s="10"/>
      <c r="F448" s="10"/>
      <c r="G448" s="16">
        <v>27.5</v>
      </c>
      <c r="H448" s="17">
        <f>D448*G448</f>
        <v>7735.2825000000003</v>
      </c>
      <c r="I448" s="115"/>
    </row>
    <row r="449" spans="1:10" s="5" customFormat="1" x14ac:dyDescent="0.25">
      <c r="A449" s="143" t="s">
        <v>237</v>
      </c>
      <c r="B449" s="11" t="s">
        <v>34</v>
      </c>
      <c r="C449" s="43"/>
      <c r="D449" s="12"/>
      <c r="E449" s="13"/>
      <c r="F449" s="13"/>
      <c r="G449" s="13"/>
      <c r="H449" s="13"/>
      <c r="I449" s="117"/>
    </row>
    <row r="450" spans="1:10" x14ac:dyDescent="0.25">
      <c r="A450" s="99" t="s">
        <v>238</v>
      </c>
      <c r="B450" s="38" t="s">
        <v>196</v>
      </c>
      <c r="C450" s="37" t="s">
        <v>8</v>
      </c>
      <c r="D450" s="39">
        <v>416.66</v>
      </c>
      <c r="E450" s="39">
        <v>55</v>
      </c>
      <c r="F450" s="39">
        <f>D450*E450</f>
        <v>22916.300000000003</v>
      </c>
      <c r="G450" s="39">
        <f>H450/D450</f>
        <v>16.539523572817167</v>
      </c>
      <c r="H450" s="39">
        <f>SUM(H451:H454)</f>
        <v>6891.3578918500007</v>
      </c>
      <c r="I450" s="100">
        <f>F450+H450</f>
        <v>29807.657891850002</v>
      </c>
    </row>
    <row r="451" spans="1:10" x14ac:dyDescent="0.25">
      <c r="A451" s="99"/>
      <c r="B451" s="26" t="s">
        <v>52</v>
      </c>
      <c r="C451" s="27" t="s">
        <v>47</v>
      </c>
      <c r="D451" s="16">
        <f>D450*0.15</f>
        <v>62.499000000000002</v>
      </c>
      <c r="E451" s="10"/>
      <c r="F451" s="10"/>
      <c r="G451" s="16">
        <f>6.605*1.03</f>
        <v>6.8031500000000005</v>
      </c>
      <c r="H451" s="17">
        <f>D451*G451</f>
        <v>425.19007185000004</v>
      </c>
      <c r="I451" s="115"/>
    </row>
    <row r="452" spans="1:10" ht="14.25" customHeight="1" x14ac:dyDescent="0.25">
      <c r="A452" s="99"/>
      <c r="B452" s="14" t="s">
        <v>252</v>
      </c>
      <c r="C452" s="9" t="s">
        <v>47</v>
      </c>
      <c r="D452" s="16">
        <f>D450*1.8</f>
        <v>749.98800000000006</v>
      </c>
      <c r="E452" s="10"/>
      <c r="F452" s="10"/>
      <c r="G452" s="16">
        <f>81.95/30</f>
        <v>2.7316666666666669</v>
      </c>
      <c r="H452" s="17">
        <f t="shared" ref="H452:H454" si="58">D452*G452</f>
        <v>2048.7172200000005</v>
      </c>
      <c r="I452" s="115"/>
      <c r="J452" s="1">
        <v>81.95</v>
      </c>
    </row>
    <row r="453" spans="1:10" ht="14.25" customHeight="1" x14ac:dyDescent="0.25">
      <c r="A453" s="99"/>
      <c r="B453" s="14" t="s">
        <v>141</v>
      </c>
      <c r="C453" s="9" t="s">
        <v>47</v>
      </c>
      <c r="D453" s="16">
        <f>D450*1.3</f>
        <v>541.65800000000002</v>
      </c>
      <c r="E453" s="10"/>
      <c r="F453" s="10"/>
      <c r="G453" s="16">
        <v>5.7</v>
      </c>
      <c r="H453" s="17">
        <f t="shared" si="58"/>
        <v>3087.4506000000001</v>
      </c>
      <c r="I453" s="115"/>
      <c r="J453" s="1">
        <v>81.95</v>
      </c>
    </row>
    <row r="454" spans="1:10" ht="14.25" customHeight="1" x14ac:dyDescent="0.25">
      <c r="A454" s="99"/>
      <c r="B454" s="162" t="s">
        <v>391</v>
      </c>
      <c r="C454" s="9" t="s">
        <v>29</v>
      </c>
      <c r="D454" s="16">
        <f>190</f>
        <v>190</v>
      </c>
      <c r="E454" s="16"/>
      <c r="F454" s="16"/>
      <c r="G454" s="54">
        <v>7</v>
      </c>
      <c r="H454" s="17">
        <f t="shared" si="58"/>
        <v>1330</v>
      </c>
      <c r="I454" s="115"/>
    </row>
    <row r="455" spans="1:10" x14ac:dyDescent="0.25">
      <c r="A455" s="99" t="s">
        <v>239</v>
      </c>
      <c r="B455" s="38" t="s">
        <v>198</v>
      </c>
      <c r="C455" s="37" t="s">
        <v>8</v>
      </c>
      <c r="D455" s="39">
        <v>416.66</v>
      </c>
      <c r="E455" s="39">
        <v>35</v>
      </c>
      <c r="F455" s="39">
        <f>D455*E455</f>
        <v>14583.1</v>
      </c>
      <c r="G455" s="39">
        <f>H455/D455</f>
        <v>9.2704725000000003</v>
      </c>
      <c r="H455" s="39">
        <f>SUM(H456:H457)</f>
        <v>3862.6350718500003</v>
      </c>
      <c r="I455" s="100">
        <f>F455+H455</f>
        <v>18445.735071850002</v>
      </c>
    </row>
    <row r="456" spans="1:10" x14ac:dyDescent="0.25">
      <c r="A456" s="99"/>
      <c r="B456" s="26" t="s">
        <v>52</v>
      </c>
      <c r="C456" s="27" t="s">
        <v>47</v>
      </c>
      <c r="D456" s="16">
        <f>D455*0.15</f>
        <v>62.499000000000002</v>
      </c>
      <c r="E456" s="10"/>
      <c r="F456" s="10"/>
      <c r="G456" s="16">
        <f>6.605*1.03</f>
        <v>6.8031500000000005</v>
      </c>
      <c r="H456" s="17">
        <f>D456*G456</f>
        <v>425.19007185000004</v>
      </c>
      <c r="I456" s="115"/>
    </row>
    <row r="457" spans="1:10" ht="14.25" customHeight="1" x14ac:dyDescent="0.25">
      <c r="A457" s="99"/>
      <c r="B457" s="14" t="s">
        <v>145</v>
      </c>
      <c r="C457" s="9" t="s">
        <v>144</v>
      </c>
      <c r="D457" s="16">
        <f>D455*0.3</f>
        <v>124.998</v>
      </c>
      <c r="E457" s="10"/>
      <c r="F457" s="10"/>
      <c r="G457" s="16">
        <v>27.5</v>
      </c>
      <c r="H457" s="17">
        <f>D457*G457</f>
        <v>3437.4450000000002</v>
      </c>
      <c r="I457" s="115"/>
    </row>
    <row r="458" spans="1:10" ht="28.5" x14ac:dyDescent="0.25">
      <c r="A458" s="118" t="s">
        <v>236</v>
      </c>
      <c r="B458" s="66" t="s">
        <v>362</v>
      </c>
      <c r="C458" s="163" t="s">
        <v>8</v>
      </c>
      <c r="D458" s="164">
        <v>118.08</v>
      </c>
      <c r="E458" s="68">
        <v>60</v>
      </c>
      <c r="F458" s="68">
        <f>D458*E458</f>
        <v>7084.8</v>
      </c>
      <c r="G458" s="68">
        <f>H458/D458</f>
        <v>11.970472499999998</v>
      </c>
      <c r="H458" s="68">
        <f>SUM(H459:H460)</f>
        <v>1413.4733927999998</v>
      </c>
      <c r="I458" s="119">
        <f>F458+H458</f>
        <v>8498.2733927999998</v>
      </c>
    </row>
    <row r="459" spans="1:10" x14ac:dyDescent="0.25">
      <c r="A459" s="99"/>
      <c r="B459" s="26" t="s">
        <v>52</v>
      </c>
      <c r="C459" s="27" t="s">
        <v>47</v>
      </c>
      <c r="D459" s="16">
        <f>D458*0.15</f>
        <v>17.712</v>
      </c>
      <c r="E459" s="10"/>
      <c r="F459" s="10"/>
      <c r="G459" s="16">
        <f>6.605*1.03</f>
        <v>6.8031500000000005</v>
      </c>
      <c r="H459" s="17">
        <f>D459*G459</f>
        <v>120.4973928</v>
      </c>
      <c r="I459" s="115"/>
    </row>
    <row r="460" spans="1:10" ht="14.25" customHeight="1" x14ac:dyDescent="0.25">
      <c r="A460" s="99"/>
      <c r="B460" s="14" t="s">
        <v>180</v>
      </c>
      <c r="C460" s="9" t="s">
        <v>144</v>
      </c>
      <c r="D460" s="16">
        <f>D458*0.3</f>
        <v>35.423999999999999</v>
      </c>
      <c r="E460" s="10"/>
      <c r="F460" s="10"/>
      <c r="G460" s="16">
        <v>36.5</v>
      </c>
      <c r="H460" s="17">
        <f>D460*G460</f>
        <v>1292.9759999999999</v>
      </c>
      <c r="I460" s="115"/>
    </row>
    <row r="461" spans="1:10" x14ac:dyDescent="0.25">
      <c r="A461" s="143" t="s">
        <v>241</v>
      </c>
      <c r="B461" s="140" t="s">
        <v>300</v>
      </c>
      <c r="C461" s="136"/>
      <c r="D461" s="12"/>
      <c r="E461" s="13"/>
      <c r="F461" s="13"/>
      <c r="G461" s="13"/>
      <c r="H461" s="13"/>
      <c r="I461" s="117"/>
    </row>
    <row r="462" spans="1:10" ht="14.25" customHeight="1" x14ac:dyDescent="0.25">
      <c r="A462" s="99" t="s">
        <v>242</v>
      </c>
      <c r="B462" s="38" t="s">
        <v>177</v>
      </c>
      <c r="C462" s="32" t="s">
        <v>8</v>
      </c>
      <c r="D462" s="161">
        <v>1500</v>
      </c>
      <c r="E462" s="39">
        <v>55</v>
      </c>
      <c r="F462" s="39">
        <f>D462*E462</f>
        <v>82500</v>
      </c>
      <c r="G462" s="39">
        <f>H462/D462</f>
        <v>49.35148031152648</v>
      </c>
      <c r="H462" s="39">
        <f>SUM(H463:H467)</f>
        <v>74027.220467289721</v>
      </c>
      <c r="I462" s="100">
        <f>F462+H462</f>
        <v>156527.22046728974</v>
      </c>
    </row>
    <row r="463" spans="1:10" ht="14.25" customHeight="1" x14ac:dyDescent="0.25">
      <c r="A463" s="99"/>
      <c r="B463" s="56" t="s">
        <v>176</v>
      </c>
      <c r="C463" s="9" t="s">
        <v>29</v>
      </c>
      <c r="D463" s="16">
        <f>D462*17*1.4/25</f>
        <v>1428</v>
      </c>
      <c r="E463" s="16"/>
      <c r="F463" s="16"/>
      <c r="G463" s="16">
        <v>43.62</v>
      </c>
      <c r="H463" s="17">
        <f>D463*G463</f>
        <v>62289.359999999993</v>
      </c>
      <c r="I463" s="115"/>
    </row>
    <row r="464" spans="1:10" ht="14.25" customHeight="1" x14ac:dyDescent="0.25">
      <c r="A464" s="105"/>
      <c r="B464" s="57" t="s">
        <v>264</v>
      </c>
      <c r="C464" s="9" t="s">
        <v>29</v>
      </c>
      <c r="D464" s="8">
        <f>D462*0.05/20</f>
        <v>3.75</v>
      </c>
      <c r="E464" s="17"/>
      <c r="F464" s="17"/>
      <c r="G464" s="17">
        <v>756.44</v>
      </c>
      <c r="H464" s="17">
        <f t="shared" ref="H464:H467" si="59">D464*G464</f>
        <v>2836.65</v>
      </c>
      <c r="I464" s="98"/>
    </row>
    <row r="465" spans="1:9" ht="14.25" customHeight="1" x14ac:dyDescent="0.25">
      <c r="A465" s="105"/>
      <c r="B465" s="56" t="s">
        <v>134</v>
      </c>
      <c r="C465" s="9" t="s">
        <v>29</v>
      </c>
      <c r="D465" s="8">
        <f>D462/0.856/3</f>
        <v>584.1121495327103</v>
      </c>
      <c r="E465" s="17"/>
      <c r="F465" s="17"/>
      <c r="G465" s="17">
        <v>4.7300000000000004</v>
      </c>
      <c r="H465" s="17">
        <f t="shared" si="59"/>
        <v>2762.8504672897202</v>
      </c>
      <c r="I465" s="98"/>
    </row>
    <row r="466" spans="1:9" ht="14.25" customHeight="1" x14ac:dyDescent="0.25">
      <c r="A466" s="99"/>
      <c r="B466" s="56" t="s">
        <v>137</v>
      </c>
      <c r="C466" s="9" t="s">
        <v>29</v>
      </c>
      <c r="D466" s="16">
        <f>D462*0.3/3</f>
        <v>150</v>
      </c>
      <c r="E466" s="16"/>
      <c r="F466" s="16"/>
      <c r="G466" s="54">
        <f>21.84*1.02</f>
        <v>22.276800000000001</v>
      </c>
      <c r="H466" s="17">
        <f t="shared" si="59"/>
        <v>3341.5200000000004</v>
      </c>
      <c r="I466" s="115"/>
    </row>
    <row r="467" spans="1:9" ht="14.25" customHeight="1" x14ac:dyDescent="0.25">
      <c r="A467" s="99"/>
      <c r="B467" s="56" t="s">
        <v>146</v>
      </c>
      <c r="C467" s="9" t="s">
        <v>29</v>
      </c>
      <c r="D467" s="8">
        <f>D462*0.2/50</f>
        <v>6</v>
      </c>
      <c r="E467" s="17"/>
      <c r="F467" s="17"/>
      <c r="G467" s="17">
        <f>457*1.02</f>
        <v>466.14</v>
      </c>
      <c r="H467" s="17">
        <f t="shared" si="59"/>
        <v>2796.84</v>
      </c>
      <c r="I467" s="115"/>
    </row>
    <row r="468" spans="1:9" ht="14.25" customHeight="1" x14ac:dyDescent="0.25">
      <c r="A468" s="99" t="s">
        <v>243</v>
      </c>
      <c r="B468" s="38" t="s">
        <v>142</v>
      </c>
      <c r="C468" s="37" t="s">
        <v>8</v>
      </c>
      <c r="D468" s="146">
        <f>D462</f>
        <v>1500</v>
      </c>
      <c r="E468" s="39">
        <v>50</v>
      </c>
      <c r="F468" s="39">
        <f>D468*E468</f>
        <v>75000</v>
      </c>
      <c r="G468" s="39">
        <f>H468/D468</f>
        <v>13.1332325</v>
      </c>
      <c r="H468" s="39">
        <f>SUM(H469:H471)</f>
        <v>19699.848750000001</v>
      </c>
      <c r="I468" s="100">
        <f>F468+H468</f>
        <v>94699.848750000005</v>
      </c>
    </row>
    <row r="469" spans="1:9" ht="14.25" customHeight="1" x14ac:dyDescent="0.25">
      <c r="A469" s="99"/>
      <c r="B469" s="26" t="s">
        <v>52</v>
      </c>
      <c r="C469" s="27" t="s">
        <v>47</v>
      </c>
      <c r="D469" s="16">
        <f>D468*0.15</f>
        <v>225</v>
      </c>
      <c r="E469" s="10"/>
      <c r="F469" s="10"/>
      <c r="G469" s="16">
        <f>6.605*1.03</f>
        <v>6.8031500000000005</v>
      </c>
      <c r="H469" s="17">
        <f>D469*G469</f>
        <v>1530.70875</v>
      </c>
      <c r="I469" s="115"/>
    </row>
    <row r="470" spans="1:9" ht="14.25" customHeight="1" x14ac:dyDescent="0.25">
      <c r="A470" s="99"/>
      <c r="B470" s="14" t="s">
        <v>252</v>
      </c>
      <c r="C470" s="9" t="s">
        <v>47</v>
      </c>
      <c r="D470" s="16">
        <f>D468*1.8</f>
        <v>2700</v>
      </c>
      <c r="E470" s="10"/>
      <c r="F470" s="10"/>
      <c r="G470" s="16">
        <f>81.95/30</f>
        <v>2.7316666666666669</v>
      </c>
      <c r="H470" s="17">
        <f t="shared" ref="H470:H471" si="60">D470*G470</f>
        <v>7375.5000000000009</v>
      </c>
      <c r="I470" s="115"/>
    </row>
    <row r="471" spans="1:9" ht="14.25" customHeight="1" x14ac:dyDescent="0.25">
      <c r="A471" s="99"/>
      <c r="B471" s="14" t="s">
        <v>141</v>
      </c>
      <c r="C471" s="9" t="s">
        <v>47</v>
      </c>
      <c r="D471" s="16">
        <f>D468*1.3</f>
        <v>1950</v>
      </c>
      <c r="E471" s="10"/>
      <c r="F471" s="10"/>
      <c r="G471" s="16">
        <f>138.38/25</f>
        <v>5.5351999999999997</v>
      </c>
      <c r="H471" s="17">
        <f t="shared" si="60"/>
        <v>10793.64</v>
      </c>
      <c r="I471" s="115"/>
    </row>
    <row r="472" spans="1:9" ht="14.25" customHeight="1" x14ac:dyDescent="0.25">
      <c r="A472" s="99" t="s">
        <v>244</v>
      </c>
      <c r="B472" s="38" t="s">
        <v>197</v>
      </c>
      <c r="C472" s="37" t="s">
        <v>8</v>
      </c>
      <c r="D472" s="146">
        <v>1500</v>
      </c>
      <c r="E472" s="39">
        <v>28</v>
      </c>
      <c r="F472" s="39">
        <f>D472*E472</f>
        <v>42000</v>
      </c>
      <c r="G472" s="39">
        <f>H472/D472</f>
        <v>9.2704725000000003</v>
      </c>
      <c r="H472" s="39">
        <f>SUM(H473:H474)</f>
        <v>13905.70875</v>
      </c>
      <c r="I472" s="100">
        <f>F472+H472</f>
        <v>55905.708749999998</v>
      </c>
    </row>
    <row r="473" spans="1:9" ht="14.25" customHeight="1" x14ac:dyDescent="0.25">
      <c r="A473" s="99"/>
      <c r="B473" s="26" t="s">
        <v>52</v>
      </c>
      <c r="C473" s="27" t="s">
        <v>47</v>
      </c>
      <c r="D473" s="16">
        <f>D472*0.15</f>
        <v>225</v>
      </c>
      <c r="E473" s="10"/>
      <c r="F473" s="10"/>
      <c r="G473" s="16">
        <f>6.605*1.03</f>
        <v>6.8031500000000005</v>
      </c>
      <c r="H473" s="17">
        <f>D473*G473</f>
        <v>1530.70875</v>
      </c>
      <c r="I473" s="115"/>
    </row>
    <row r="474" spans="1:9" ht="14.25" customHeight="1" x14ac:dyDescent="0.25">
      <c r="A474" s="99"/>
      <c r="B474" s="14" t="s">
        <v>145</v>
      </c>
      <c r="C474" s="9" t="s">
        <v>144</v>
      </c>
      <c r="D474" s="16">
        <f>D472*0.3</f>
        <v>450</v>
      </c>
      <c r="E474" s="10"/>
      <c r="F474" s="10"/>
      <c r="G474" s="16">
        <v>27.5</v>
      </c>
      <c r="H474" s="17">
        <f>D474*G474</f>
        <v>12375</v>
      </c>
      <c r="I474" s="115"/>
    </row>
    <row r="475" spans="1:9" x14ac:dyDescent="0.25">
      <c r="A475" s="143" t="s">
        <v>245</v>
      </c>
      <c r="B475" s="140" t="s">
        <v>301</v>
      </c>
      <c r="C475" s="136"/>
      <c r="D475" s="12"/>
      <c r="E475" s="13"/>
      <c r="F475" s="13"/>
      <c r="G475" s="13"/>
      <c r="H475" s="13"/>
      <c r="I475" s="117"/>
    </row>
    <row r="476" spans="1:9" ht="14.25" customHeight="1" x14ac:dyDescent="0.25">
      <c r="A476" s="99" t="s">
        <v>246</v>
      </c>
      <c r="B476" s="38" t="s">
        <v>177</v>
      </c>
      <c r="C476" s="32" t="s">
        <v>8</v>
      </c>
      <c r="D476" s="161">
        <v>686.82</v>
      </c>
      <c r="E476" s="39">
        <v>55</v>
      </c>
      <c r="F476" s="39">
        <f>D476*E476</f>
        <v>37775.100000000006</v>
      </c>
      <c r="G476" s="39">
        <f>H476/D476</f>
        <v>49.351480311526466</v>
      </c>
      <c r="H476" s="39">
        <f>SUM(H477:H481)</f>
        <v>33895.583707562611</v>
      </c>
      <c r="I476" s="100">
        <f>F476+H476</f>
        <v>71670.683707562624</v>
      </c>
    </row>
    <row r="477" spans="1:9" ht="14.25" customHeight="1" x14ac:dyDescent="0.25">
      <c r="A477" s="99"/>
      <c r="B477" s="56" t="s">
        <v>176</v>
      </c>
      <c r="C477" s="9" t="s">
        <v>29</v>
      </c>
      <c r="D477" s="16">
        <f>D476*17*1.4/25</f>
        <v>653.85263999999995</v>
      </c>
      <c r="E477" s="16"/>
      <c r="F477" s="16"/>
      <c r="G477" s="16">
        <v>43.62</v>
      </c>
      <c r="H477" s="17">
        <f>D477*G477</f>
        <v>28521.052156799997</v>
      </c>
      <c r="I477" s="115"/>
    </row>
    <row r="478" spans="1:9" ht="14.25" customHeight="1" x14ac:dyDescent="0.25">
      <c r="A478" s="105"/>
      <c r="B478" s="57" t="s">
        <v>264</v>
      </c>
      <c r="C478" s="9" t="s">
        <v>29</v>
      </c>
      <c r="D478" s="8">
        <f>D476*0.05/20</f>
        <v>1.71705</v>
      </c>
      <c r="E478" s="17"/>
      <c r="F478" s="17"/>
      <c r="G478" s="17">
        <v>756.44</v>
      </c>
      <c r="H478" s="17">
        <f t="shared" ref="H478:H481" si="61">D478*G478</f>
        <v>1298.8453020000002</v>
      </c>
      <c r="I478" s="98"/>
    </row>
    <row r="479" spans="1:9" ht="14.25" customHeight="1" x14ac:dyDescent="0.25">
      <c r="A479" s="105"/>
      <c r="B479" s="56" t="s">
        <v>134</v>
      </c>
      <c r="C479" s="9" t="s">
        <v>29</v>
      </c>
      <c r="D479" s="8">
        <f>D476/0.856/3</f>
        <v>267.45327102803742</v>
      </c>
      <c r="E479" s="17"/>
      <c r="F479" s="17"/>
      <c r="G479" s="17">
        <v>4.7300000000000004</v>
      </c>
      <c r="H479" s="17">
        <f t="shared" si="61"/>
        <v>1265.0539719626172</v>
      </c>
      <c r="I479" s="98"/>
    </row>
    <row r="480" spans="1:9" ht="14.25" customHeight="1" x14ac:dyDescent="0.25">
      <c r="A480" s="99"/>
      <c r="B480" s="56" t="s">
        <v>137</v>
      </c>
      <c r="C480" s="9" t="s">
        <v>29</v>
      </c>
      <c r="D480" s="16">
        <f>D476*0.3/3</f>
        <v>68.682000000000002</v>
      </c>
      <c r="E480" s="16"/>
      <c r="F480" s="16"/>
      <c r="G480" s="54">
        <f>21.84*1.02</f>
        <v>22.276800000000001</v>
      </c>
      <c r="H480" s="17">
        <f t="shared" si="61"/>
        <v>1530.0151776000002</v>
      </c>
      <c r="I480" s="115"/>
    </row>
    <row r="481" spans="1:9" ht="14.25" customHeight="1" x14ac:dyDescent="0.25">
      <c r="A481" s="99"/>
      <c r="B481" s="56" t="s">
        <v>146</v>
      </c>
      <c r="C481" s="9" t="s">
        <v>29</v>
      </c>
      <c r="D481" s="8">
        <f>D476*0.2/50</f>
        <v>2.7472799999999999</v>
      </c>
      <c r="E481" s="17"/>
      <c r="F481" s="17"/>
      <c r="G481" s="17">
        <f>457*1.02</f>
        <v>466.14</v>
      </c>
      <c r="H481" s="17">
        <f t="shared" si="61"/>
        <v>1280.6170992</v>
      </c>
      <c r="I481" s="115"/>
    </row>
    <row r="482" spans="1:9" ht="14.25" customHeight="1" x14ac:dyDescent="0.25">
      <c r="A482" s="99" t="s">
        <v>247</v>
      </c>
      <c r="B482" s="38" t="s">
        <v>142</v>
      </c>
      <c r="C482" s="37" t="s">
        <v>8</v>
      </c>
      <c r="D482" s="146">
        <f>D476</f>
        <v>686.82</v>
      </c>
      <c r="E482" s="39">
        <v>50</v>
      </c>
      <c r="F482" s="39">
        <f>D482*E482</f>
        <v>34341</v>
      </c>
      <c r="G482" s="39">
        <f>H482/D482</f>
        <v>13.133232499999998</v>
      </c>
      <c r="H482" s="39">
        <f>SUM(H483:H485)</f>
        <v>9020.1667456499999</v>
      </c>
      <c r="I482" s="100">
        <f>F482+H482</f>
        <v>43361.16674565</v>
      </c>
    </row>
    <row r="483" spans="1:9" ht="14.25" customHeight="1" x14ac:dyDescent="0.25">
      <c r="A483" s="99"/>
      <c r="B483" s="26" t="s">
        <v>52</v>
      </c>
      <c r="C483" s="27" t="s">
        <v>47</v>
      </c>
      <c r="D483" s="16">
        <f>D482*0.15</f>
        <v>103.02300000000001</v>
      </c>
      <c r="E483" s="10"/>
      <c r="F483" s="10"/>
      <c r="G483" s="16">
        <f>6.605*1.03</f>
        <v>6.8031500000000005</v>
      </c>
      <c r="H483" s="17">
        <f>D483*G483</f>
        <v>700.88092245000007</v>
      </c>
      <c r="I483" s="115"/>
    </row>
    <row r="484" spans="1:9" ht="14.25" customHeight="1" x14ac:dyDescent="0.25">
      <c r="A484" s="99"/>
      <c r="B484" s="14" t="s">
        <v>252</v>
      </c>
      <c r="C484" s="9" t="s">
        <v>47</v>
      </c>
      <c r="D484" s="16">
        <f>D482*1.8</f>
        <v>1236.2760000000001</v>
      </c>
      <c r="E484" s="10"/>
      <c r="F484" s="10"/>
      <c r="G484" s="16">
        <f>81.95/30</f>
        <v>2.7316666666666669</v>
      </c>
      <c r="H484" s="17">
        <f t="shared" ref="H484:H485" si="62">D484*G484</f>
        <v>3377.0939400000007</v>
      </c>
      <c r="I484" s="115"/>
    </row>
    <row r="485" spans="1:9" ht="14.25" customHeight="1" x14ac:dyDescent="0.25">
      <c r="A485" s="99"/>
      <c r="B485" s="14" t="s">
        <v>141</v>
      </c>
      <c r="C485" s="9" t="s">
        <v>47</v>
      </c>
      <c r="D485" s="16">
        <f>D482*1.3</f>
        <v>892.8660000000001</v>
      </c>
      <c r="E485" s="10"/>
      <c r="F485" s="10"/>
      <c r="G485" s="16">
        <f>138.38/25</f>
        <v>5.5351999999999997</v>
      </c>
      <c r="H485" s="17">
        <f t="shared" si="62"/>
        <v>4942.1918832000001</v>
      </c>
      <c r="I485" s="115"/>
    </row>
    <row r="486" spans="1:9" ht="28.5" x14ac:dyDescent="0.25">
      <c r="A486" s="99" t="s">
        <v>248</v>
      </c>
      <c r="B486" s="38" t="s">
        <v>178</v>
      </c>
      <c r="C486" s="37" t="s">
        <v>8</v>
      </c>
      <c r="D486" s="146">
        <v>292.75</v>
      </c>
      <c r="E486" s="39">
        <v>35</v>
      </c>
      <c r="F486" s="39">
        <f>D486*E486</f>
        <v>10246.25</v>
      </c>
      <c r="G486" s="39">
        <f>H486/D486</f>
        <v>11.970472500000001</v>
      </c>
      <c r="H486" s="39">
        <f>SUM(H487:H488)</f>
        <v>3504.3558243750003</v>
      </c>
      <c r="I486" s="100">
        <f>F486+H486</f>
        <v>13750.605824375001</v>
      </c>
    </row>
    <row r="487" spans="1:9" ht="14.25" customHeight="1" x14ac:dyDescent="0.25">
      <c r="A487" s="99"/>
      <c r="B487" s="26" t="s">
        <v>52</v>
      </c>
      <c r="C487" s="27" t="s">
        <v>47</v>
      </c>
      <c r="D487" s="16">
        <f>D486*0.15</f>
        <v>43.912500000000001</v>
      </c>
      <c r="E487" s="10"/>
      <c r="F487" s="10"/>
      <c r="G487" s="16">
        <f>6.605*1.03</f>
        <v>6.8031500000000005</v>
      </c>
      <c r="H487" s="17">
        <f>D487*G487</f>
        <v>298.74332437500004</v>
      </c>
      <c r="I487" s="115"/>
    </row>
    <row r="488" spans="1:9" ht="14.25" customHeight="1" x14ac:dyDescent="0.25">
      <c r="A488" s="99"/>
      <c r="B488" s="14" t="s">
        <v>180</v>
      </c>
      <c r="C488" s="9" t="s">
        <v>144</v>
      </c>
      <c r="D488" s="16">
        <f>D486*0.3</f>
        <v>87.825000000000003</v>
      </c>
      <c r="E488" s="10"/>
      <c r="F488" s="10"/>
      <c r="G488" s="16">
        <v>36.5</v>
      </c>
      <c r="H488" s="17">
        <f>D488*G488</f>
        <v>3205.6125000000002</v>
      </c>
      <c r="I488" s="115"/>
    </row>
    <row r="489" spans="1:9" ht="28.5" x14ac:dyDescent="0.25">
      <c r="A489" s="99" t="s">
        <v>385</v>
      </c>
      <c r="B489" s="38" t="s">
        <v>179</v>
      </c>
      <c r="C489" s="37" t="s">
        <v>8</v>
      </c>
      <c r="D489" s="146">
        <v>394.08</v>
      </c>
      <c r="E489" s="39">
        <v>28</v>
      </c>
      <c r="F489" s="39">
        <f>D489*E489</f>
        <v>11034.24</v>
      </c>
      <c r="G489" s="39">
        <f>H489/D489</f>
        <v>9.2704725000000003</v>
      </c>
      <c r="H489" s="39">
        <f>SUM(H490:H491)</f>
        <v>3653.3078028</v>
      </c>
      <c r="I489" s="100">
        <f>F489+H489</f>
        <v>14687.5478028</v>
      </c>
    </row>
    <row r="490" spans="1:9" ht="14.25" customHeight="1" x14ac:dyDescent="0.25">
      <c r="A490" s="99"/>
      <c r="B490" s="26" t="s">
        <v>52</v>
      </c>
      <c r="C490" s="27" t="s">
        <v>47</v>
      </c>
      <c r="D490" s="16">
        <f>D489*0.15</f>
        <v>59.111999999999995</v>
      </c>
      <c r="E490" s="10"/>
      <c r="F490" s="10"/>
      <c r="G490" s="16">
        <f>6.605*1.03</f>
        <v>6.8031500000000005</v>
      </c>
      <c r="H490" s="17">
        <f>D490*G490</f>
        <v>402.14780279999997</v>
      </c>
      <c r="I490" s="115"/>
    </row>
    <row r="491" spans="1:9" ht="14.25" customHeight="1" x14ac:dyDescent="0.25">
      <c r="A491" s="99"/>
      <c r="B491" s="14" t="s">
        <v>145</v>
      </c>
      <c r="C491" s="9" t="s">
        <v>144</v>
      </c>
      <c r="D491" s="16">
        <f>D489*0.3</f>
        <v>118.22399999999999</v>
      </c>
      <c r="E491" s="10"/>
      <c r="F491" s="10"/>
      <c r="G491" s="16">
        <v>27.5</v>
      </c>
      <c r="H491" s="17">
        <f>D491*G491</f>
        <v>3251.16</v>
      </c>
      <c r="I491" s="115"/>
    </row>
    <row r="492" spans="1:9" x14ac:dyDescent="0.25">
      <c r="A492" s="143" t="s">
        <v>249</v>
      </c>
      <c r="B492" s="140" t="s">
        <v>303</v>
      </c>
      <c r="C492" s="136"/>
      <c r="D492" s="12"/>
      <c r="E492" s="13"/>
      <c r="F492" s="13"/>
      <c r="G492" s="13"/>
      <c r="H492" s="13"/>
      <c r="I492" s="117"/>
    </row>
    <row r="493" spans="1:9" ht="14.25" customHeight="1" x14ac:dyDescent="0.25">
      <c r="A493" s="99" t="s">
        <v>250</v>
      </c>
      <c r="B493" s="38" t="s">
        <v>177</v>
      </c>
      <c r="C493" s="32" t="s">
        <v>8</v>
      </c>
      <c r="D493" s="34">
        <v>235.68</v>
      </c>
      <c r="E493" s="39">
        <v>55</v>
      </c>
      <c r="F493" s="39">
        <f>D493*E493</f>
        <v>12962.4</v>
      </c>
      <c r="G493" s="39">
        <f>H493/D493</f>
        <v>49.351480311526466</v>
      </c>
      <c r="H493" s="39">
        <f>SUM(H494:H498)</f>
        <v>11631.156879820557</v>
      </c>
      <c r="I493" s="100">
        <f>F493+H493</f>
        <v>24593.556879820557</v>
      </c>
    </row>
    <row r="494" spans="1:9" ht="14.25" customHeight="1" x14ac:dyDescent="0.25">
      <c r="A494" s="99"/>
      <c r="B494" s="56" t="s">
        <v>176</v>
      </c>
      <c r="C494" s="9" t="s">
        <v>29</v>
      </c>
      <c r="D494" s="16">
        <f>D493*17*1.4/25</f>
        <v>224.36735999999996</v>
      </c>
      <c r="E494" s="16"/>
      <c r="F494" s="16"/>
      <c r="G494" s="16">
        <v>43.62</v>
      </c>
      <c r="H494" s="17">
        <f>D494*G494</f>
        <v>9786.9042431999969</v>
      </c>
      <c r="I494" s="115"/>
    </row>
    <row r="495" spans="1:9" ht="14.25" customHeight="1" x14ac:dyDescent="0.25">
      <c r="A495" s="105"/>
      <c r="B495" s="57" t="s">
        <v>264</v>
      </c>
      <c r="C495" s="9" t="s">
        <v>29</v>
      </c>
      <c r="D495" s="8">
        <f>D493*0.05/20</f>
        <v>0.58920000000000006</v>
      </c>
      <c r="E495" s="17"/>
      <c r="F495" s="17"/>
      <c r="G495" s="17">
        <v>756.44</v>
      </c>
      <c r="H495" s="17">
        <f t="shared" ref="H495:H498" si="63">D495*G495</f>
        <v>445.69444800000008</v>
      </c>
      <c r="I495" s="98"/>
    </row>
    <row r="496" spans="1:9" ht="14.25" customHeight="1" x14ac:dyDescent="0.25">
      <c r="A496" s="105"/>
      <c r="B496" s="56" t="s">
        <v>134</v>
      </c>
      <c r="C496" s="9" t="s">
        <v>29</v>
      </c>
      <c r="D496" s="8">
        <f>D493/0.856/3</f>
        <v>91.775700934579447</v>
      </c>
      <c r="E496" s="17"/>
      <c r="F496" s="17"/>
      <c r="G496" s="17">
        <v>4.7300000000000004</v>
      </c>
      <c r="H496" s="17">
        <f t="shared" si="63"/>
        <v>434.09906542056081</v>
      </c>
      <c r="I496" s="98"/>
    </row>
    <row r="497" spans="1:9" ht="14.25" customHeight="1" x14ac:dyDescent="0.25">
      <c r="A497" s="99"/>
      <c r="B497" s="56" t="s">
        <v>137</v>
      </c>
      <c r="C497" s="9" t="s">
        <v>29</v>
      </c>
      <c r="D497" s="16">
        <f>D493*0.3/3</f>
        <v>23.567999999999998</v>
      </c>
      <c r="E497" s="16"/>
      <c r="F497" s="16"/>
      <c r="G497" s="54">
        <f>21.84*1.02</f>
        <v>22.276800000000001</v>
      </c>
      <c r="H497" s="17">
        <f t="shared" si="63"/>
        <v>525.0196224</v>
      </c>
      <c r="I497" s="115"/>
    </row>
    <row r="498" spans="1:9" ht="14.25" customHeight="1" x14ac:dyDescent="0.25">
      <c r="A498" s="99"/>
      <c r="B498" s="56" t="s">
        <v>146</v>
      </c>
      <c r="C498" s="9" t="s">
        <v>29</v>
      </c>
      <c r="D498" s="8">
        <f>D493*0.2/50</f>
        <v>0.94272</v>
      </c>
      <c r="E498" s="17"/>
      <c r="F498" s="17"/>
      <c r="G498" s="17">
        <f>457*1.02</f>
        <v>466.14</v>
      </c>
      <c r="H498" s="17">
        <f t="shared" si="63"/>
        <v>439.43950079999996</v>
      </c>
      <c r="I498" s="115"/>
    </row>
    <row r="499" spans="1:9" ht="14.25" customHeight="1" x14ac:dyDescent="0.25">
      <c r="A499" s="99" t="s">
        <v>251</v>
      </c>
      <c r="B499" s="38" t="s">
        <v>142</v>
      </c>
      <c r="C499" s="37" t="s">
        <v>8</v>
      </c>
      <c r="D499" s="39">
        <f>D493</f>
        <v>235.68</v>
      </c>
      <c r="E499" s="39">
        <v>50</v>
      </c>
      <c r="F499" s="39">
        <f>D499*E499</f>
        <v>11784</v>
      </c>
      <c r="G499" s="39">
        <f>H499/D499</f>
        <v>13.1332325</v>
      </c>
      <c r="H499" s="39">
        <f>SUM(H500:H502)</f>
        <v>3095.2402356000002</v>
      </c>
      <c r="I499" s="100">
        <f>F499+H499</f>
        <v>14879.2402356</v>
      </c>
    </row>
    <row r="500" spans="1:9" ht="14.25" customHeight="1" x14ac:dyDescent="0.25">
      <c r="A500" s="99"/>
      <c r="B500" s="26" t="s">
        <v>52</v>
      </c>
      <c r="C500" s="27" t="s">
        <v>47</v>
      </c>
      <c r="D500" s="16">
        <f>D499*0.15</f>
        <v>35.351999999999997</v>
      </c>
      <c r="E500" s="10"/>
      <c r="F500" s="10"/>
      <c r="G500" s="16">
        <f>6.605*1.03</f>
        <v>6.8031500000000005</v>
      </c>
      <c r="H500" s="17">
        <f>D500*G500</f>
        <v>240.5049588</v>
      </c>
      <c r="I500" s="115"/>
    </row>
    <row r="501" spans="1:9" ht="14.25" customHeight="1" x14ac:dyDescent="0.25">
      <c r="A501" s="99"/>
      <c r="B501" s="14" t="s">
        <v>252</v>
      </c>
      <c r="C501" s="9" t="s">
        <v>47</v>
      </c>
      <c r="D501" s="16">
        <f>D499*1.8</f>
        <v>424.22400000000005</v>
      </c>
      <c r="E501" s="10"/>
      <c r="F501" s="10"/>
      <c r="G501" s="16">
        <f>81.95/30</f>
        <v>2.7316666666666669</v>
      </c>
      <c r="H501" s="17">
        <f t="shared" ref="H501:H502" si="64">D501*G501</f>
        <v>1158.8385600000001</v>
      </c>
      <c r="I501" s="115"/>
    </row>
    <row r="502" spans="1:9" ht="14.25" customHeight="1" x14ac:dyDescent="0.25">
      <c r="A502" s="99"/>
      <c r="B502" s="14" t="s">
        <v>141</v>
      </c>
      <c r="C502" s="9" t="s">
        <v>47</v>
      </c>
      <c r="D502" s="16">
        <f>D499*1.3</f>
        <v>306.38400000000001</v>
      </c>
      <c r="E502" s="10"/>
      <c r="F502" s="10"/>
      <c r="G502" s="16">
        <f>138.38/25</f>
        <v>5.5351999999999997</v>
      </c>
      <c r="H502" s="17">
        <f t="shared" si="64"/>
        <v>1695.8967167999999</v>
      </c>
      <c r="I502" s="115"/>
    </row>
    <row r="503" spans="1:9" ht="14.25" customHeight="1" x14ac:dyDescent="0.25">
      <c r="A503" s="99" t="s">
        <v>386</v>
      </c>
      <c r="B503" s="38" t="s">
        <v>302</v>
      </c>
      <c r="C503" s="37" t="s">
        <v>8</v>
      </c>
      <c r="D503" s="141">
        <f>D499</f>
        <v>235.68</v>
      </c>
      <c r="E503" s="39">
        <v>35</v>
      </c>
      <c r="F503" s="39">
        <f>D503*E503</f>
        <v>8248.8000000000011</v>
      </c>
      <c r="G503" s="39">
        <f>H503/D503</f>
        <v>11.9704725</v>
      </c>
      <c r="H503" s="39">
        <f>SUM(H504:H505)</f>
        <v>2821.2009588000001</v>
      </c>
      <c r="I503" s="100">
        <f>F503+H503</f>
        <v>11070.000958800001</v>
      </c>
    </row>
    <row r="504" spans="1:9" ht="14.25" customHeight="1" x14ac:dyDescent="0.25">
      <c r="A504" s="99"/>
      <c r="B504" s="26" t="s">
        <v>52</v>
      </c>
      <c r="C504" s="27" t="s">
        <v>47</v>
      </c>
      <c r="D504" s="16">
        <f>D503*0.15</f>
        <v>35.351999999999997</v>
      </c>
      <c r="E504" s="10"/>
      <c r="F504" s="10"/>
      <c r="G504" s="16">
        <f>6.605*1.03</f>
        <v>6.8031500000000005</v>
      </c>
      <c r="H504" s="17">
        <f>D504*G504</f>
        <v>240.5049588</v>
      </c>
      <c r="I504" s="115"/>
    </row>
    <row r="505" spans="1:9" ht="14.25" customHeight="1" thickBot="1" x14ac:dyDescent="0.3">
      <c r="A505" s="99"/>
      <c r="B505" s="14" t="s">
        <v>180</v>
      </c>
      <c r="C505" s="9" t="s">
        <v>144</v>
      </c>
      <c r="D505" s="16">
        <f>D503*0.3</f>
        <v>70.703999999999994</v>
      </c>
      <c r="E505" s="10"/>
      <c r="F505" s="10"/>
      <c r="G505" s="16">
        <v>36.5</v>
      </c>
      <c r="H505" s="17">
        <f>D505*G505</f>
        <v>2580.6959999999999</v>
      </c>
      <c r="I505" s="115"/>
    </row>
    <row r="506" spans="1:9" ht="15.75" thickBot="1" x14ac:dyDescent="0.3">
      <c r="A506" s="81"/>
      <c r="B506" s="82" t="s">
        <v>35</v>
      </c>
      <c r="C506" s="83"/>
      <c r="D506" s="84"/>
      <c r="E506" s="85"/>
      <c r="F506" s="85"/>
      <c r="G506" s="85"/>
      <c r="H506" s="85"/>
      <c r="I506" s="86">
        <f>SUM(I507:I701)</f>
        <v>1305571.4668027251</v>
      </c>
    </row>
    <row r="507" spans="1:9" s="5" customFormat="1" ht="30" x14ac:dyDescent="0.25">
      <c r="A507" s="113" t="s">
        <v>265</v>
      </c>
      <c r="B507" s="23" t="s">
        <v>36</v>
      </c>
      <c r="C507" s="22"/>
      <c r="D507" s="24"/>
      <c r="E507" s="25"/>
      <c r="F507" s="25"/>
      <c r="G507" s="25"/>
      <c r="H507" s="25"/>
      <c r="I507" s="114"/>
    </row>
    <row r="508" spans="1:9" x14ac:dyDescent="0.25">
      <c r="A508" s="99" t="s">
        <v>266</v>
      </c>
      <c r="B508" s="42" t="s">
        <v>204</v>
      </c>
      <c r="C508" s="37" t="s">
        <v>8</v>
      </c>
      <c r="D508" s="39">
        <v>111.52</v>
      </c>
      <c r="E508" s="39">
        <v>65</v>
      </c>
      <c r="F508" s="39">
        <f>D508*E508</f>
        <v>7248.8</v>
      </c>
      <c r="G508" s="39">
        <f>H508/D508</f>
        <v>120.73512250000002</v>
      </c>
      <c r="H508" s="39">
        <f>SUM(H510:H513)</f>
        <v>13464.380861200001</v>
      </c>
      <c r="I508" s="100">
        <f>F508+H508</f>
        <v>20713.180861200002</v>
      </c>
    </row>
    <row r="509" spans="1:9" x14ac:dyDescent="0.25">
      <c r="A509" s="99" t="s">
        <v>267</v>
      </c>
      <c r="B509" s="42" t="s">
        <v>166</v>
      </c>
      <c r="C509" s="37" t="s">
        <v>8</v>
      </c>
      <c r="D509" s="39">
        <v>111.52</v>
      </c>
      <c r="E509" s="39">
        <v>65</v>
      </c>
      <c r="F509" s="39">
        <f>D509*E509</f>
        <v>7248.8</v>
      </c>
      <c r="G509" s="39">
        <f>H509/D509</f>
        <v>45.273000000000003</v>
      </c>
      <c r="H509" s="39">
        <f>SUM(H514:H515)</f>
        <v>5048.8449600000004</v>
      </c>
      <c r="I509" s="100">
        <f>F509+H509</f>
        <v>12297.644960000001</v>
      </c>
    </row>
    <row r="510" spans="1:9" s="60" customFormat="1" ht="15" customHeight="1" outlineLevel="1" x14ac:dyDescent="0.25">
      <c r="A510" s="59"/>
      <c r="B510" s="61" t="s">
        <v>161</v>
      </c>
      <c r="C510" s="27" t="s">
        <v>47</v>
      </c>
      <c r="D510" s="62">
        <f>0.15*D509</f>
        <v>16.727999999999998</v>
      </c>
      <c r="E510" s="63"/>
      <c r="F510" s="65"/>
      <c r="G510" s="16">
        <f>6.605*1.03</f>
        <v>6.8031500000000005</v>
      </c>
      <c r="H510" s="64">
        <f>D510*G510</f>
        <v>113.80309319999999</v>
      </c>
      <c r="I510" s="70"/>
    </row>
    <row r="511" spans="1:9" s="60" customFormat="1" ht="15" customHeight="1" outlineLevel="1" x14ac:dyDescent="0.25">
      <c r="A511" s="59"/>
      <c r="B511" s="61" t="s">
        <v>162</v>
      </c>
      <c r="C511" s="27" t="s">
        <v>47</v>
      </c>
      <c r="D511" s="62">
        <f>5*D509</f>
        <v>557.6</v>
      </c>
      <c r="E511" s="63"/>
      <c r="F511" s="65"/>
      <c r="G511" s="64">
        <f>G358</f>
        <v>4.46</v>
      </c>
      <c r="H511" s="64">
        <f t="shared" ref="H511:H515" si="65">D511*G511</f>
        <v>2486.8960000000002</v>
      </c>
      <c r="I511" s="70"/>
    </row>
    <row r="512" spans="1:9" s="60" customFormat="1" ht="15" customHeight="1" outlineLevel="1" x14ac:dyDescent="0.25">
      <c r="A512" s="59"/>
      <c r="B512" s="61" t="s">
        <v>394</v>
      </c>
      <c r="C512" s="27" t="s">
        <v>111</v>
      </c>
      <c r="D512" s="62">
        <f>1.05*0.05*D509</f>
        <v>5.8548</v>
      </c>
      <c r="E512" s="63"/>
      <c r="F512" s="65"/>
      <c r="G512" s="64">
        <v>1494</v>
      </c>
      <c r="H512" s="64">
        <f t="shared" si="65"/>
        <v>8747.0712000000003</v>
      </c>
      <c r="I512" s="70"/>
    </row>
    <row r="513" spans="1:10" s="60" customFormat="1" ht="30" outlineLevel="1" x14ac:dyDescent="0.25">
      <c r="A513" s="59"/>
      <c r="B513" s="61" t="s">
        <v>359</v>
      </c>
      <c r="C513" s="27" t="s">
        <v>163</v>
      </c>
      <c r="D513" s="160">
        <f>8*D509+1</f>
        <v>893.16</v>
      </c>
      <c r="E513" s="63"/>
      <c r="F513" s="65"/>
      <c r="G513" s="64">
        <f>118.49/50</f>
        <v>2.3697999999999997</v>
      </c>
      <c r="H513" s="64">
        <f t="shared" si="65"/>
        <v>2116.6105679999996</v>
      </c>
      <c r="I513" s="70"/>
    </row>
    <row r="514" spans="1:10" s="60" customFormat="1" ht="15" customHeight="1" outlineLevel="1" x14ac:dyDescent="0.25">
      <c r="A514" s="59"/>
      <c r="B514" s="61" t="s">
        <v>162</v>
      </c>
      <c r="C514" s="27" t="s">
        <v>47</v>
      </c>
      <c r="D514" s="62">
        <f>6*D509</f>
        <v>669.12</v>
      </c>
      <c r="E514" s="63"/>
      <c r="F514" s="65"/>
      <c r="G514" s="64">
        <f>G511</f>
        <v>4.46</v>
      </c>
      <c r="H514" s="64">
        <f t="shared" si="65"/>
        <v>2984.2752</v>
      </c>
      <c r="I514" s="70"/>
    </row>
    <row r="515" spans="1:10" s="60" customFormat="1" ht="15" customHeight="1" outlineLevel="1" x14ac:dyDescent="0.25">
      <c r="A515" s="59"/>
      <c r="B515" s="61" t="s">
        <v>164</v>
      </c>
      <c r="C515" s="27" t="s">
        <v>8</v>
      </c>
      <c r="D515" s="62">
        <f>1.1*D509</f>
        <v>122.67200000000001</v>
      </c>
      <c r="E515" s="63"/>
      <c r="F515" s="65"/>
      <c r="G515" s="64">
        <f>G362</f>
        <v>16.829999999999998</v>
      </c>
      <c r="H515" s="64">
        <f t="shared" si="65"/>
        <v>2064.5697599999999</v>
      </c>
      <c r="I515" s="70"/>
    </row>
    <row r="516" spans="1:10" s="5" customFormat="1" x14ac:dyDescent="0.25">
      <c r="A516" s="175" t="s">
        <v>304</v>
      </c>
      <c r="B516" s="176" t="s">
        <v>388</v>
      </c>
      <c r="C516" s="22"/>
      <c r="D516" s="24"/>
      <c r="E516" s="25"/>
      <c r="F516" s="25"/>
      <c r="G516" s="25"/>
      <c r="H516" s="25"/>
      <c r="I516" s="114"/>
    </row>
    <row r="517" spans="1:10" x14ac:dyDescent="0.25">
      <c r="A517" s="169" t="s">
        <v>305</v>
      </c>
      <c r="B517" s="154" t="s">
        <v>204</v>
      </c>
      <c r="C517" s="178" t="s">
        <v>8</v>
      </c>
      <c r="D517" s="146">
        <v>33.5</v>
      </c>
      <c r="E517" s="39">
        <v>65</v>
      </c>
      <c r="F517" s="39">
        <f>D517*E517</f>
        <v>2177.5</v>
      </c>
      <c r="G517" s="39">
        <f>H517/D517</f>
        <v>120.78461279850747</v>
      </c>
      <c r="H517" s="39">
        <f>SUM(H519:H522)</f>
        <v>4046.2845287500004</v>
      </c>
      <c r="I517" s="100">
        <f>F517+H517</f>
        <v>6223.7845287500004</v>
      </c>
    </row>
    <row r="518" spans="1:10" x14ac:dyDescent="0.25">
      <c r="A518" s="169" t="s">
        <v>306</v>
      </c>
      <c r="B518" s="154" t="s">
        <v>166</v>
      </c>
      <c r="C518" s="178" t="s">
        <v>8</v>
      </c>
      <c r="D518" s="146">
        <v>33.5</v>
      </c>
      <c r="E518" s="39">
        <v>65</v>
      </c>
      <c r="F518" s="39">
        <f>D518*E518</f>
        <v>2177.5</v>
      </c>
      <c r="G518" s="39">
        <f>H518/D518</f>
        <v>45.273000000000003</v>
      </c>
      <c r="H518" s="39">
        <f>SUM(H523:H524)</f>
        <v>1516.6455000000001</v>
      </c>
      <c r="I518" s="100">
        <f>F518+H518</f>
        <v>3694.1455000000001</v>
      </c>
    </row>
    <row r="519" spans="1:10" s="60" customFormat="1" ht="15" customHeight="1" outlineLevel="1" x14ac:dyDescent="0.25">
      <c r="A519" s="59"/>
      <c r="B519" s="61" t="s">
        <v>161</v>
      </c>
      <c r="C519" s="27" t="s">
        <v>47</v>
      </c>
      <c r="D519" s="62">
        <f>0.15*D518</f>
        <v>5.0249999999999995</v>
      </c>
      <c r="E519" s="63"/>
      <c r="F519" s="65"/>
      <c r="G519" s="16">
        <f>6.605*1.03</f>
        <v>6.8031500000000005</v>
      </c>
      <c r="H519" s="64">
        <f>D519*G519</f>
        <v>34.185828749999999</v>
      </c>
      <c r="I519" s="70"/>
    </row>
    <row r="520" spans="1:10" s="60" customFormat="1" ht="15" customHeight="1" outlineLevel="1" x14ac:dyDescent="0.25">
      <c r="A520" s="59"/>
      <c r="B520" s="61" t="s">
        <v>162</v>
      </c>
      <c r="C520" s="27" t="s">
        <v>47</v>
      </c>
      <c r="D520" s="62">
        <f>5*D518</f>
        <v>167.5</v>
      </c>
      <c r="E520" s="63"/>
      <c r="F520" s="65"/>
      <c r="G520" s="64">
        <f>G358</f>
        <v>4.46</v>
      </c>
      <c r="H520" s="64">
        <f t="shared" ref="H520:H524" si="66">D520*G520</f>
        <v>747.05</v>
      </c>
      <c r="I520" s="70"/>
    </row>
    <row r="521" spans="1:10" s="60" customFormat="1" ht="15" customHeight="1" outlineLevel="1" x14ac:dyDescent="0.25">
      <c r="A521" s="59"/>
      <c r="B521" s="61" t="s">
        <v>394</v>
      </c>
      <c r="C521" s="27" t="s">
        <v>111</v>
      </c>
      <c r="D521" s="62">
        <f>1.05*0.05*D518</f>
        <v>1.7587500000000003</v>
      </c>
      <c r="E521" s="63"/>
      <c r="F521" s="65"/>
      <c r="G521" s="64">
        <v>1494</v>
      </c>
      <c r="H521" s="64">
        <f t="shared" si="66"/>
        <v>2627.5725000000002</v>
      </c>
      <c r="I521" s="70"/>
    </row>
    <row r="522" spans="1:10" s="60" customFormat="1" ht="30" outlineLevel="1" x14ac:dyDescent="0.25">
      <c r="A522" s="59"/>
      <c r="B522" s="61" t="s">
        <v>359</v>
      </c>
      <c r="C522" s="27" t="s">
        <v>163</v>
      </c>
      <c r="D522" s="160">
        <f>8*D518+1</f>
        <v>269</v>
      </c>
      <c r="E522" s="63"/>
      <c r="F522" s="65"/>
      <c r="G522" s="64">
        <f>118.49/50</f>
        <v>2.3697999999999997</v>
      </c>
      <c r="H522" s="64">
        <f t="shared" si="66"/>
        <v>637.47619999999995</v>
      </c>
      <c r="I522" s="70"/>
    </row>
    <row r="523" spans="1:10" s="60" customFormat="1" ht="15" customHeight="1" outlineLevel="1" x14ac:dyDescent="0.25">
      <c r="A523" s="59"/>
      <c r="B523" s="61" t="s">
        <v>162</v>
      </c>
      <c r="C523" s="27" t="s">
        <v>47</v>
      </c>
      <c r="D523" s="62">
        <f>6*D518</f>
        <v>201</v>
      </c>
      <c r="E523" s="63"/>
      <c r="F523" s="65"/>
      <c r="G523" s="64">
        <f>G520</f>
        <v>4.46</v>
      </c>
      <c r="H523" s="64">
        <f t="shared" si="66"/>
        <v>896.46</v>
      </c>
      <c r="I523" s="70"/>
    </row>
    <row r="524" spans="1:10" s="60" customFormat="1" ht="15" customHeight="1" outlineLevel="1" x14ac:dyDescent="0.25">
      <c r="A524" s="59"/>
      <c r="B524" s="61" t="s">
        <v>164</v>
      </c>
      <c r="C524" s="27" t="s">
        <v>8</v>
      </c>
      <c r="D524" s="62">
        <f>1.1*D518</f>
        <v>36.85</v>
      </c>
      <c r="E524" s="63"/>
      <c r="F524" s="65"/>
      <c r="G524" s="64">
        <f>G362</f>
        <v>16.829999999999998</v>
      </c>
      <c r="H524" s="64">
        <f t="shared" si="66"/>
        <v>620.18549999999993</v>
      </c>
      <c r="I524" s="70"/>
    </row>
    <row r="525" spans="1:10" x14ac:dyDescent="0.25">
      <c r="A525" s="169" t="s">
        <v>307</v>
      </c>
      <c r="B525" s="177" t="s">
        <v>202</v>
      </c>
      <c r="C525" s="178" t="s">
        <v>8</v>
      </c>
      <c r="D525" s="146">
        <v>33.5</v>
      </c>
      <c r="E525" s="39">
        <v>55</v>
      </c>
      <c r="F525" s="39">
        <f>D525*E525</f>
        <v>1842.5</v>
      </c>
      <c r="G525" s="39">
        <f>H525/D525</f>
        <v>13.133232500000002</v>
      </c>
      <c r="H525" s="39">
        <f>SUM(H526:H528)</f>
        <v>439.96328875000006</v>
      </c>
      <c r="I525" s="100">
        <f>F525+H525</f>
        <v>2282.4632887500002</v>
      </c>
    </row>
    <row r="526" spans="1:10" x14ac:dyDescent="0.25">
      <c r="A526" s="99"/>
      <c r="B526" s="26" t="s">
        <v>52</v>
      </c>
      <c r="C526" s="27" t="s">
        <v>47</v>
      </c>
      <c r="D526" s="16">
        <f>D525*0.15</f>
        <v>5.0249999999999995</v>
      </c>
      <c r="E526" s="10"/>
      <c r="F526" s="10"/>
      <c r="G526" s="16">
        <f>6.605*1.03</f>
        <v>6.8031500000000005</v>
      </c>
      <c r="H526" s="17">
        <f>D526*G526</f>
        <v>34.185828749999999</v>
      </c>
      <c r="I526" s="100"/>
    </row>
    <row r="527" spans="1:10" ht="14.25" customHeight="1" x14ac:dyDescent="0.25">
      <c r="A527" s="99"/>
      <c r="B527" s="14" t="s">
        <v>252</v>
      </c>
      <c r="C527" s="9" t="s">
        <v>47</v>
      </c>
      <c r="D527" s="16">
        <f>D525*1.8</f>
        <v>60.300000000000004</v>
      </c>
      <c r="E527" s="10"/>
      <c r="F527" s="10"/>
      <c r="G527" s="16">
        <f>81.95/30</f>
        <v>2.7316666666666669</v>
      </c>
      <c r="H527" s="17">
        <f t="shared" ref="H527:H528" si="67">D527*G527</f>
        <v>164.71950000000004</v>
      </c>
      <c r="I527" s="115"/>
      <c r="J527" s="1">
        <v>81.95</v>
      </c>
    </row>
    <row r="528" spans="1:10" ht="14.25" customHeight="1" x14ac:dyDescent="0.25">
      <c r="A528" s="99"/>
      <c r="B528" s="14" t="s">
        <v>141</v>
      </c>
      <c r="C528" s="9" t="s">
        <v>47</v>
      </c>
      <c r="D528" s="16">
        <f>D525*1.3</f>
        <v>43.550000000000004</v>
      </c>
      <c r="E528" s="10"/>
      <c r="F528" s="10"/>
      <c r="G528" s="16">
        <f>138.38/25</f>
        <v>5.5351999999999997</v>
      </c>
      <c r="H528" s="17">
        <f t="shared" si="67"/>
        <v>241.05796000000001</v>
      </c>
      <c r="I528" s="100"/>
      <c r="J528" s="1">
        <v>81.95</v>
      </c>
    </row>
    <row r="529" spans="1:10" x14ac:dyDescent="0.25">
      <c r="A529" s="169" t="s">
        <v>387</v>
      </c>
      <c r="B529" s="177" t="s">
        <v>203</v>
      </c>
      <c r="C529" s="178" t="s">
        <v>8</v>
      </c>
      <c r="D529" s="146">
        <v>33.5</v>
      </c>
      <c r="E529" s="39">
        <v>30</v>
      </c>
      <c r="F529" s="39">
        <f>D529*E529</f>
        <v>1005</v>
      </c>
      <c r="G529" s="39">
        <f>H529/D529</f>
        <v>9.2704724999999986</v>
      </c>
      <c r="H529" s="39">
        <f>SUM(H530:H531)</f>
        <v>310.56082874999993</v>
      </c>
      <c r="I529" s="100">
        <f>F529+H529</f>
        <v>1315.5608287499999</v>
      </c>
    </row>
    <row r="530" spans="1:10" x14ac:dyDescent="0.25">
      <c r="A530" s="99"/>
      <c r="B530" s="26" t="s">
        <v>52</v>
      </c>
      <c r="C530" s="27" t="s">
        <v>47</v>
      </c>
      <c r="D530" s="16">
        <f>D529*0.15</f>
        <v>5.0249999999999995</v>
      </c>
      <c r="E530" s="10"/>
      <c r="F530" s="10"/>
      <c r="G530" s="16">
        <f>6.605*1.03</f>
        <v>6.8031500000000005</v>
      </c>
      <c r="H530" s="17">
        <f>D530*G530</f>
        <v>34.185828749999999</v>
      </c>
      <c r="I530" s="100"/>
    </row>
    <row r="531" spans="1:10" ht="14.25" customHeight="1" x14ac:dyDescent="0.25">
      <c r="A531" s="99"/>
      <c r="B531" s="14" t="s">
        <v>145</v>
      </c>
      <c r="C531" s="9" t="s">
        <v>144</v>
      </c>
      <c r="D531" s="16">
        <f>D529*0.3</f>
        <v>10.049999999999999</v>
      </c>
      <c r="E531" s="10"/>
      <c r="F531" s="10"/>
      <c r="G531" s="16">
        <v>27.5</v>
      </c>
      <c r="H531" s="17">
        <f>D531*G531</f>
        <v>276.37499999999994</v>
      </c>
      <c r="I531" s="100"/>
    </row>
    <row r="532" spans="1:10" s="5" customFormat="1" x14ac:dyDescent="0.25">
      <c r="A532" s="174" t="s">
        <v>308</v>
      </c>
      <c r="B532" s="153" t="s">
        <v>389</v>
      </c>
      <c r="C532" s="142"/>
      <c r="D532" s="12"/>
      <c r="E532" s="13"/>
      <c r="F532" s="13"/>
      <c r="G532" s="13"/>
      <c r="H532" s="13"/>
      <c r="I532" s="117"/>
    </row>
    <row r="533" spans="1:10" x14ac:dyDescent="0.25">
      <c r="A533" s="169" t="s">
        <v>309</v>
      </c>
      <c r="B533" s="177" t="s">
        <v>202</v>
      </c>
      <c r="C533" s="178" t="s">
        <v>8</v>
      </c>
      <c r="D533" s="146">
        <v>61.05</v>
      </c>
      <c r="E533" s="39">
        <v>55</v>
      </c>
      <c r="F533" s="39">
        <f>D533*E533</f>
        <v>3357.75</v>
      </c>
      <c r="G533" s="39">
        <f>H533/D533</f>
        <v>13.1332325</v>
      </c>
      <c r="H533" s="39">
        <f>SUM(H534:H536)</f>
        <v>801.78384412499997</v>
      </c>
      <c r="I533" s="100">
        <f>F533+H533</f>
        <v>4159.5338441249996</v>
      </c>
    </row>
    <row r="534" spans="1:10" x14ac:dyDescent="0.25">
      <c r="A534" s="99"/>
      <c r="B534" s="26" t="s">
        <v>52</v>
      </c>
      <c r="C534" s="27" t="s">
        <v>47</v>
      </c>
      <c r="D534" s="16">
        <f>D533*0.15</f>
        <v>9.1574999999999989</v>
      </c>
      <c r="E534" s="10"/>
      <c r="F534" s="10"/>
      <c r="G534" s="16">
        <f>6.605*1.03</f>
        <v>6.8031500000000005</v>
      </c>
      <c r="H534" s="17">
        <f>D534*G534</f>
        <v>62.299846124999995</v>
      </c>
      <c r="I534" s="100"/>
    </row>
    <row r="535" spans="1:10" ht="14.25" customHeight="1" x14ac:dyDescent="0.25">
      <c r="A535" s="99"/>
      <c r="B535" s="14" t="s">
        <v>252</v>
      </c>
      <c r="C535" s="9" t="s">
        <v>47</v>
      </c>
      <c r="D535" s="16">
        <f>D533*1.8</f>
        <v>109.89</v>
      </c>
      <c r="E535" s="10"/>
      <c r="F535" s="10"/>
      <c r="G535" s="16">
        <f>81.95/30</f>
        <v>2.7316666666666669</v>
      </c>
      <c r="H535" s="17">
        <f t="shared" ref="H535:H536" si="68">D535*G535</f>
        <v>300.18285000000003</v>
      </c>
      <c r="I535" s="115"/>
      <c r="J535" s="1">
        <v>81.95</v>
      </c>
    </row>
    <row r="536" spans="1:10" ht="14.25" customHeight="1" x14ac:dyDescent="0.25">
      <c r="A536" s="99"/>
      <c r="B536" s="14" t="s">
        <v>141</v>
      </c>
      <c r="C536" s="9" t="s">
        <v>47</v>
      </c>
      <c r="D536" s="16">
        <f>D533*1.3</f>
        <v>79.364999999999995</v>
      </c>
      <c r="E536" s="10"/>
      <c r="F536" s="10"/>
      <c r="G536" s="16">
        <f>138.38/25</f>
        <v>5.5351999999999997</v>
      </c>
      <c r="H536" s="17">
        <f t="shared" si="68"/>
        <v>439.30114799999996</v>
      </c>
      <c r="I536" s="100"/>
      <c r="J536" s="1">
        <v>81.95</v>
      </c>
    </row>
    <row r="537" spans="1:10" x14ac:dyDescent="0.25">
      <c r="A537" s="169" t="s">
        <v>310</v>
      </c>
      <c r="B537" s="177" t="s">
        <v>203</v>
      </c>
      <c r="C537" s="178" t="s">
        <v>8</v>
      </c>
      <c r="D537" s="146">
        <v>61.05</v>
      </c>
      <c r="E537" s="39">
        <v>30</v>
      </c>
      <c r="F537" s="39">
        <f>D537*E537</f>
        <v>1831.5</v>
      </c>
      <c r="G537" s="39">
        <f>H537/D537</f>
        <v>9.2704725000000003</v>
      </c>
      <c r="H537" s="39">
        <f>SUM(H538:H539)</f>
        <v>565.96234612499995</v>
      </c>
      <c r="I537" s="100">
        <f>F537+H537</f>
        <v>2397.4623461249998</v>
      </c>
    </row>
    <row r="538" spans="1:10" x14ac:dyDescent="0.25">
      <c r="A538" s="99"/>
      <c r="B538" s="26" t="s">
        <v>52</v>
      </c>
      <c r="C538" s="27" t="s">
        <v>47</v>
      </c>
      <c r="D538" s="16">
        <f>D537*0.15</f>
        <v>9.1574999999999989</v>
      </c>
      <c r="E538" s="10"/>
      <c r="F538" s="10"/>
      <c r="G538" s="16">
        <f>6.605*1.03</f>
        <v>6.8031500000000005</v>
      </c>
      <c r="H538" s="17">
        <f>D538*G538</f>
        <v>62.299846124999995</v>
      </c>
      <c r="I538" s="100"/>
    </row>
    <row r="539" spans="1:10" ht="14.25" customHeight="1" x14ac:dyDescent="0.25">
      <c r="A539" s="99"/>
      <c r="B539" s="14" t="s">
        <v>145</v>
      </c>
      <c r="C539" s="9" t="s">
        <v>144</v>
      </c>
      <c r="D539" s="16">
        <f>D537*0.3</f>
        <v>18.314999999999998</v>
      </c>
      <c r="E539" s="10"/>
      <c r="F539" s="10"/>
      <c r="G539" s="16">
        <v>27.5</v>
      </c>
      <c r="H539" s="17">
        <f>D539*G539</f>
        <v>503.66249999999991</v>
      </c>
      <c r="I539" s="100"/>
    </row>
    <row r="540" spans="1:10" s="5" customFormat="1" x14ac:dyDescent="0.25">
      <c r="A540" s="174" t="s">
        <v>313</v>
      </c>
      <c r="B540" s="153" t="s">
        <v>390</v>
      </c>
      <c r="C540" s="142"/>
      <c r="D540" s="12"/>
      <c r="E540" s="13"/>
      <c r="F540" s="13"/>
      <c r="G540" s="13"/>
      <c r="H540" s="13"/>
      <c r="I540" s="117"/>
    </row>
    <row r="541" spans="1:10" x14ac:dyDescent="0.25">
      <c r="A541" s="169" t="s">
        <v>314</v>
      </c>
      <c r="B541" s="177" t="s">
        <v>202</v>
      </c>
      <c r="C541" s="178" t="s">
        <v>8</v>
      </c>
      <c r="D541" s="146">
        <v>182.04</v>
      </c>
      <c r="E541" s="39">
        <v>55</v>
      </c>
      <c r="F541" s="39">
        <f>D541*E541</f>
        <v>10012.199999999999</v>
      </c>
      <c r="G541" s="39">
        <f>H541/D541</f>
        <v>13.1332325</v>
      </c>
      <c r="H541" s="39">
        <f>SUM(H542:H544)</f>
        <v>2390.7736442999999</v>
      </c>
      <c r="I541" s="100">
        <f>F541+H541</f>
        <v>12402.973644299998</v>
      </c>
    </row>
    <row r="542" spans="1:10" x14ac:dyDescent="0.25">
      <c r="A542" s="99"/>
      <c r="B542" s="26" t="s">
        <v>52</v>
      </c>
      <c r="C542" s="27" t="s">
        <v>47</v>
      </c>
      <c r="D542" s="16">
        <f>D541*0.15</f>
        <v>27.305999999999997</v>
      </c>
      <c r="E542" s="10"/>
      <c r="F542" s="10"/>
      <c r="G542" s="16">
        <f>6.605*1.03</f>
        <v>6.8031500000000005</v>
      </c>
      <c r="H542" s="17">
        <f>D542*G542</f>
        <v>185.76681389999999</v>
      </c>
      <c r="I542" s="100"/>
    </row>
    <row r="543" spans="1:10" ht="14.25" customHeight="1" x14ac:dyDescent="0.25">
      <c r="A543" s="99"/>
      <c r="B543" s="14" t="s">
        <v>252</v>
      </c>
      <c r="C543" s="9" t="s">
        <v>47</v>
      </c>
      <c r="D543" s="16">
        <f>D541*1.8</f>
        <v>327.67199999999997</v>
      </c>
      <c r="E543" s="10"/>
      <c r="F543" s="10"/>
      <c r="G543" s="16">
        <f>81.95/30</f>
        <v>2.7316666666666669</v>
      </c>
      <c r="H543" s="17">
        <f t="shared" ref="H543:H544" si="69">D543*G543</f>
        <v>895.09068000000002</v>
      </c>
      <c r="I543" s="115"/>
      <c r="J543" s="1">
        <v>81.95</v>
      </c>
    </row>
    <row r="544" spans="1:10" ht="14.25" customHeight="1" x14ac:dyDescent="0.25">
      <c r="A544" s="99"/>
      <c r="B544" s="14" t="s">
        <v>141</v>
      </c>
      <c r="C544" s="9" t="s">
        <v>47</v>
      </c>
      <c r="D544" s="16">
        <f>D541*1.3</f>
        <v>236.65199999999999</v>
      </c>
      <c r="E544" s="10"/>
      <c r="F544" s="10"/>
      <c r="G544" s="16">
        <f>138.38/25</f>
        <v>5.5351999999999997</v>
      </c>
      <c r="H544" s="17">
        <f t="shared" si="69"/>
        <v>1309.9161503999999</v>
      </c>
      <c r="I544" s="100"/>
      <c r="J544" s="1">
        <v>81.95</v>
      </c>
    </row>
    <row r="545" spans="1:10" x14ac:dyDescent="0.25">
      <c r="A545" s="169" t="s">
        <v>315</v>
      </c>
      <c r="B545" s="177" t="s">
        <v>203</v>
      </c>
      <c r="C545" s="178" t="s">
        <v>8</v>
      </c>
      <c r="D545" s="146">
        <v>182.04</v>
      </c>
      <c r="E545" s="39">
        <v>30</v>
      </c>
      <c r="F545" s="39">
        <f>D545*E545</f>
        <v>5461.2</v>
      </c>
      <c r="G545" s="39">
        <f>H545/D545</f>
        <v>9.2704725000000003</v>
      </c>
      <c r="H545" s="39">
        <f>SUM(H546:H547)</f>
        <v>1687.5968138999999</v>
      </c>
      <c r="I545" s="100">
        <f>F545+H545</f>
        <v>7148.7968138999995</v>
      </c>
    </row>
    <row r="546" spans="1:10" x14ac:dyDescent="0.25">
      <c r="A546" s="99"/>
      <c r="B546" s="26" t="s">
        <v>52</v>
      </c>
      <c r="C546" s="27" t="s">
        <v>47</v>
      </c>
      <c r="D546" s="16">
        <f>D545*0.15</f>
        <v>27.305999999999997</v>
      </c>
      <c r="E546" s="10"/>
      <c r="F546" s="10"/>
      <c r="G546" s="16">
        <f>6.605*1.03</f>
        <v>6.8031500000000005</v>
      </c>
      <c r="H546" s="17">
        <f>D546*G546</f>
        <v>185.76681389999999</v>
      </c>
      <c r="I546" s="100"/>
    </row>
    <row r="547" spans="1:10" ht="14.25" customHeight="1" x14ac:dyDescent="0.25">
      <c r="A547" s="99"/>
      <c r="B547" s="14" t="s">
        <v>145</v>
      </c>
      <c r="C547" s="9" t="s">
        <v>144</v>
      </c>
      <c r="D547" s="16">
        <f>D545*0.3</f>
        <v>54.611999999999995</v>
      </c>
      <c r="E547" s="10"/>
      <c r="F547" s="10"/>
      <c r="G547" s="16">
        <v>27.5</v>
      </c>
      <c r="H547" s="17">
        <f>D547*G547</f>
        <v>1501.83</v>
      </c>
      <c r="I547" s="100"/>
    </row>
    <row r="548" spans="1:10" s="5" customFormat="1" x14ac:dyDescent="0.25">
      <c r="A548" s="137" t="s">
        <v>265</v>
      </c>
      <c r="B548" s="11" t="s">
        <v>43</v>
      </c>
      <c r="C548" s="43"/>
      <c r="D548" s="12"/>
      <c r="E548" s="13"/>
      <c r="F548" s="13"/>
      <c r="G548" s="13"/>
      <c r="H548" s="13"/>
      <c r="I548" s="117"/>
    </row>
    <row r="549" spans="1:10" x14ac:dyDescent="0.25">
      <c r="A549" s="99" t="s">
        <v>266</v>
      </c>
      <c r="B549" s="38" t="s">
        <v>202</v>
      </c>
      <c r="C549" s="37" t="s">
        <v>8</v>
      </c>
      <c r="D549" s="39">
        <v>54.76</v>
      </c>
      <c r="E549" s="39">
        <v>55</v>
      </c>
      <c r="F549" s="39">
        <f>D549*E549</f>
        <v>3011.7999999999997</v>
      </c>
      <c r="G549" s="39">
        <f>H549/D549</f>
        <v>13.1332325</v>
      </c>
      <c r="H549" s="39">
        <f>SUM(H550:H552)</f>
        <v>719.17581169999994</v>
      </c>
      <c r="I549" s="100">
        <f>F549+H549</f>
        <v>3730.9758116999997</v>
      </c>
    </row>
    <row r="550" spans="1:10" x14ac:dyDescent="0.25">
      <c r="A550" s="99"/>
      <c r="B550" s="26" t="s">
        <v>52</v>
      </c>
      <c r="C550" s="27" t="s">
        <v>47</v>
      </c>
      <c r="D550" s="16">
        <f>D549*0.15</f>
        <v>8.2139999999999986</v>
      </c>
      <c r="E550" s="10"/>
      <c r="F550" s="10"/>
      <c r="G550" s="16">
        <f>6.605*1.03</f>
        <v>6.8031500000000005</v>
      </c>
      <c r="H550" s="17">
        <f>D550*G550</f>
        <v>55.881074099999992</v>
      </c>
      <c r="I550" s="100"/>
    </row>
    <row r="551" spans="1:10" ht="14.25" customHeight="1" x14ac:dyDescent="0.25">
      <c r="A551" s="99"/>
      <c r="B551" s="14" t="s">
        <v>252</v>
      </c>
      <c r="C551" s="9" t="s">
        <v>47</v>
      </c>
      <c r="D551" s="16">
        <f>D549*1.8</f>
        <v>98.567999999999998</v>
      </c>
      <c r="E551" s="10"/>
      <c r="F551" s="10"/>
      <c r="G551" s="16">
        <f>81.95/30</f>
        <v>2.7316666666666669</v>
      </c>
      <c r="H551" s="17">
        <f t="shared" ref="H551:H552" si="70">D551*G551</f>
        <v>269.25492000000003</v>
      </c>
      <c r="I551" s="115"/>
      <c r="J551" s="1">
        <v>81.95</v>
      </c>
    </row>
    <row r="552" spans="1:10" ht="14.25" customHeight="1" x14ac:dyDescent="0.25">
      <c r="A552" s="99"/>
      <c r="B552" s="14" t="s">
        <v>141</v>
      </c>
      <c r="C552" s="9" t="s">
        <v>47</v>
      </c>
      <c r="D552" s="16">
        <f>D549*1.3</f>
        <v>71.188000000000002</v>
      </c>
      <c r="E552" s="10"/>
      <c r="F552" s="10"/>
      <c r="G552" s="16">
        <f>138.38/25</f>
        <v>5.5351999999999997</v>
      </c>
      <c r="H552" s="17">
        <f t="shared" si="70"/>
        <v>394.03981759999999</v>
      </c>
      <c r="I552" s="100"/>
      <c r="J552" s="1">
        <v>81.95</v>
      </c>
    </row>
    <row r="553" spans="1:10" x14ac:dyDescent="0.25">
      <c r="A553" s="99" t="s">
        <v>267</v>
      </c>
      <c r="B553" s="38" t="s">
        <v>203</v>
      </c>
      <c r="C553" s="37" t="s">
        <v>8</v>
      </c>
      <c r="D553" s="39">
        <v>54.76</v>
      </c>
      <c r="E553" s="39">
        <v>30</v>
      </c>
      <c r="F553" s="39">
        <f>D553*E553</f>
        <v>1642.8</v>
      </c>
      <c r="G553" s="39">
        <f>H553/D553</f>
        <v>9.2704724999999986</v>
      </c>
      <c r="H553" s="39">
        <f>SUM(H554:H555)</f>
        <v>507.6510740999999</v>
      </c>
      <c r="I553" s="100">
        <f>F553+H553</f>
        <v>2150.4510740999999</v>
      </c>
    </row>
    <row r="554" spans="1:10" x14ac:dyDescent="0.25">
      <c r="A554" s="99"/>
      <c r="B554" s="26" t="s">
        <v>52</v>
      </c>
      <c r="C554" s="27" t="s">
        <v>47</v>
      </c>
      <c r="D554" s="16">
        <f>D553*0.15</f>
        <v>8.2139999999999986</v>
      </c>
      <c r="E554" s="10"/>
      <c r="F554" s="10"/>
      <c r="G554" s="16">
        <f>6.605*1.03</f>
        <v>6.8031500000000005</v>
      </c>
      <c r="H554" s="17">
        <f>D554*G554</f>
        <v>55.881074099999992</v>
      </c>
      <c r="I554" s="100"/>
    </row>
    <row r="555" spans="1:10" ht="14.25" customHeight="1" x14ac:dyDescent="0.25">
      <c r="A555" s="99"/>
      <c r="B555" s="14" t="s">
        <v>145</v>
      </c>
      <c r="C555" s="9" t="s">
        <v>144</v>
      </c>
      <c r="D555" s="16">
        <f>D553*0.3</f>
        <v>16.427999999999997</v>
      </c>
      <c r="E555" s="10"/>
      <c r="F555" s="10"/>
      <c r="G555" s="16">
        <v>27.5</v>
      </c>
      <c r="H555" s="17">
        <f>D555*G555</f>
        <v>451.76999999999992</v>
      </c>
      <c r="I555" s="100"/>
    </row>
    <row r="556" spans="1:10" x14ac:dyDescent="0.25">
      <c r="A556" s="99" t="s">
        <v>268</v>
      </c>
      <c r="B556" s="38" t="s">
        <v>209</v>
      </c>
      <c r="C556" s="37" t="s">
        <v>12</v>
      </c>
      <c r="D556" s="39">
        <v>83.84</v>
      </c>
      <c r="E556" s="39">
        <v>18</v>
      </c>
      <c r="F556" s="39">
        <f>D556*E556</f>
        <v>1509.1200000000001</v>
      </c>
      <c r="G556" s="39">
        <f>H556/D556</f>
        <v>15.058124999999999</v>
      </c>
      <c r="H556" s="39">
        <f>SUM(H557:H558)</f>
        <v>1262.4731999999999</v>
      </c>
      <c r="I556" s="100">
        <f>F556+H556</f>
        <v>2771.5932000000003</v>
      </c>
    </row>
    <row r="557" spans="1:10" x14ac:dyDescent="0.25">
      <c r="A557" s="95"/>
      <c r="B557" s="165" t="s">
        <v>210</v>
      </c>
      <c r="C557" s="9" t="s">
        <v>12</v>
      </c>
      <c r="D557" s="16">
        <f>D556*1.05</f>
        <v>88.032000000000011</v>
      </c>
      <c r="E557" s="10"/>
      <c r="F557" s="10"/>
      <c r="G557" s="16">
        <f>9.53*1.25</f>
        <v>11.9125</v>
      </c>
      <c r="H557" s="16">
        <f>D557*G557</f>
        <v>1048.6812</v>
      </c>
      <c r="I557" s="115"/>
    </row>
    <row r="558" spans="1:10" x14ac:dyDescent="0.25">
      <c r="A558" s="95"/>
      <c r="B558" s="166" t="s">
        <v>363</v>
      </c>
      <c r="C558" s="9" t="s">
        <v>47</v>
      </c>
      <c r="D558" s="16">
        <f>D556*0.12</f>
        <v>10.0608</v>
      </c>
      <c r="E558" s="10"/>
      <c r="F558" s="10"/>
      <c r="G558" s="172">
        <v>21.25</v>
      </c>
      <c r="H558" s="16">
        <f>D558*G558</f>
        <v>213.792</v>
      </c>
      <c r="I558" s="115"/>
    </row>
    <row r="559" spans="1:10" s="5" customFormat="1" x14ac:dyDescent="0.25">
      <c r="A559" s="137" t="s">
        <v>304</v>
      </c>
      <c r="B559" s="11" t="s">
        <v>37</v>
      </c>
      <c r="C559" s="43"/>
      <c r="D559" s="19"/>
      <c r="E559" s="13"/>
      <c r="F559" s="13"/>
      <c r="G559" s="13"/>
      <c r="H559" s="13"/>
      <c r="I559" s="117"/>
    </row>
    <row r="560" spans="1:10" s="72" customFormat="1" x14ac:dyDescent="0.25">
      <c r="A560" s="71" t="s">
        <v>305</v>
      </c>
      <c r="B560" s="73" t="s">
        <v>213</v>
      </c>
      <c r="C560" s="37" t="s">
        <v>8</v>
      </c>
      <c r="D560" s="63">
        <v>155.94999999999999</v>
      </c>
      <c r="E560" s="63">
        <f>100</f>
        <v>100</v>
      </c>
      <c r="F560" s="63">
        <f>D560*E560</f>
        <v>15594.999999999998</v>
      </c>
      <c r="G560" s="63">
        <f>H560/D560</f>
        <v>133.32880000000003</v>
      </c>
      <c r="H560" s="63">
        <f>SUM(H561:H562)</f>
        <v>20792.626360000002</v>
      </c>
      <c r="I560" s="70">
        <f>F560+H560</f>
        <v>36387.626360000002</v>
      </c>
    </row>
    <row r="561" spans="1:10" s="60" customFormat="1" ht="15" customHeight="1" outlineLevel="1" x14ac:dyDescent="0.25">
      <c r="A561" s="59"/>
      <c r="B561" s="61" t="s">
        <v>211</v>
      </c>
      <c r="C561" s="27" t="s">
        <v>8</v>
      </c>
      <c r="D561" s="62">
        <f>D560*1.05</f>
        <v>163.7475</v>
      </c>
      <c r="E561" s="63"/>
      <c r="F561" s="63"/>
      <c r="G561" s="64">
        <f>21.12*1.3</f>
        <v>27.456000000000003</v>
      </c>
      <c r="H561" s="64">
        <f>D561*G561</f>
        <v>4495.8513600000006</v>
      </c>
      <c r="I561" s="70"/>
    </row>
    <row r="562" spans="1:10" s="60" customFormat="1" ht="15" customHeight="1" outlineLevel="1" x14ac:dyDescent="0.25">
      <c r="A562" s="59"/>
      <c r="B562" s="61" t="s">
        <v>212</v>
      </c>
      <c r="C562" s="69" t="s">
        <v>8</v>
      </c>
      <c r="D562" s="62">
        <f>D560</f>
        <v>155.94999999999999</v>
      </c>
      <c r="E562" s="63"/>
      <c r="F562" s="63"/>
      <c r="G562" s="64">
        <f>95*1.1</f>
        <v>104.50000000000001</v>
      </c>
      <c r="H562" s="64">
        <f>D562*G562</f>
        <v>16296.775000000001</v>
      </c>
      <c r="I562" s="70"/>
    </row>
    <row r="563" spans="1:10" x14ac:dyDescent="0.25">
      <c r="A563" s="99" t="s">
        <v>306</v>
      </c>
      <c r="B563" s="38" t="s">
        <v>202</v>
      </c>
      <c r="C563" s="37" t="s">
        <v>8</v>
      </c>
      <c r="D563" s="39">
        <v>1580.56</v>
      </c>
      <c r="E563" s="39">
        <v>55</v>
      </c>
      <c r="F563" s="39">
        <f>D563*E563</f>
        <v>86930.8</v>
      </c>
      <c r="G563" s="39">
        <f>H563/D563</f>
        <v>13.133232499999998</v>
      </c>
      <c r="H563" s="39">
        <f>SUM(H564:H566)</f>
        <v>20757.861960199996</v>
      </c>
      <c r="I563" s="100">
        <f>F563+H563</f>
        <v>107688.6619602</v>
      </c>
    </row>
    <row r="564" spans="1:10" x14ac:dyDescent="0.25">
      <c r="A564" s="99"/>
      <c r="B564" s="26" t="s">
        <v>52</v>
      </c>
      <c r="C564" s="27" t="s">
        <v>47</v>
      </c>
      <c r="D564" s="16">
        <f>D563*0.15</f>
        <v>237.08399999999997</v>
      </c>
      <c r="E564" s="10"/>
      <c r="F564" s="10"/>
      <c r="G564" s="16">
        <f>6.605*1.03</f>
        <v>6.8031500000000005</v>
      </c>
      <c r="H564" s="17">
        <f>D564*G564</f>
        <v>1612.9180145999999</v>
      </c>
      <c r="I564" s="115"/>
    </row>
    <row r="565" spans="1:10" ht="14.25" customHeight="1" x14ac:dyDescent="0.25">
      <c r="A565" s="99"/>
      <c r="B565" s="14" t="s">
        <v>252</v>
      </c>
      <c r="C565" s="9" t="s">
        <v>47</v>
      </c>
      <c r="D565" s="16">
        <f>D563*1.8</f>
        <v>2845.0079999999998</v>
      </c>
      <c r="E565" s="10"/>
      <c r="F565" s="10"/>
      <c r="G565" s="16">
        <f>81.95/30</f>
        <v>2.7316666666666669</v>
      </c>
      <c r="H565" s="17">
        <f t="shared" ref="H565:H567" si="71">D565*G565</f>
        <v>7771.6135199999999</v>
      </c>
      <c r="I565" s="115"/>
      <c r="J565" s="1">
        <v>81.95</v>
      </c>
    </row>
    <row r="566" spans="1:10" ht="14.25" customHeight="1" x14ac:dyDescent="0.25">
      <c r="A566" s="99"/>
      <c r="B566" s="14" t="s">
        <v>141</v>
      </c>
      <c r="C566" s="9" t="s">
        <v>47</v>
      </c>
      <c r="D566" s="16">
        <f>D563*1.3</f>
        <v>2054.7280000000001</v>
      </c>
      <c r="E566" s="10"/>
      <c r="F566" s="10"/>
      <c r="G566" s="16">
        <f>138.38/25</f>
        <v>5.5351999999999997</v>
      </c>
      <c r="H566" s="17">
        <f t="shared" si="71"/>
        <v>11373.330425599999</v>
      </c>
      <c r="I566" s="115"/>
      <c r="J566" s="1">
        <v>81.95</v>
      </c>
    </row>
    <row r="567" spans="1:10" ht="14.25" customHeight="1" x14ac:dyDescent="0.25">
      <c r="A567" s="99"/>
      <c r="B567" s="162" t="s">
        <v>391</v>
      </c>
      <c r="C567" s="9" t="s">
        <v>29</v>
      </c>
      <c r="D567" s="16">
        <f>190</f>
        <v>190</v>
      </c>
      <c r="E567" s="16"/>
      <c r="F567" s="16"/>
      <c r="G567" s="54">
        <v>7</v>
      </c>
      <c r="H567" s="17">
        <f t="shared" si="71"/>
        <v>1330</v>
      </c>
      <c r="I567" s="115"/>
    </row>
    <row r="568" spans="1:10" x14ac:dyDescent="0.25">
      <c r="A568" s="99" t="s">
        <v>307</v>
      </c>
      <c r="B568" s="38" t="s">
        <v>203</v>
      </c>
      <c r="C568" s="37" t="s">
        <v>8</v>
      </c>
      <c r="D568" s="39">
        <v>1580.56</v>
      </c>
      <c r="E568" s="39">
        <v>30</v>
      </c>
      <c r="F568" s="39">
        <f>D568*E568</f>
        <v>47416.799999999996</v>
      </c>
      <c r="G568" s="39">
        <f>H568/D568</f>
        <v>9.2704725000000003</v>
      </c>
      <c r="H568" s="39">
        <f>SUM(H569:H570)</f>
        <v>14652.538014599999</v>
      </c>
      <c r="I568" s="100">
        <f>H568+F568</f>
        <v>62069.338014599998</v>
      </c>
    </row>
    <row r="569" spans="1:10" x14ac:dyDescent="0.25">
      <c r="A569" s="99"/>
      <c r="B569" s="26" t="s">
        <v>52</v>
      </c>
      <c r="C569" s="27" t="s">
        <v>47</v>
      </c>
      <c r="D569" s="16">
        <f>D568*0.15</f>
        <v>237.08399999999997</v>
      </c>
      <c r="E569" s="10"/>
      <c r="F569" s="10"/>
      <c r="G569" s="16">
        <f>6.605*1.03</f>
        <v>6.8031500000000005</v>
      </c>
      <c r="H569" s="17">
        <f>D569*G569</f>
        <v>1612.9180145999999</v>
      </c>
      <c r="I569" s="115"/>
    </row>
    <row r="570" spans="1:10" ht="14.25" customHeight="1" x14ac:dyDescent="0.25">
      <c r="A570" s="99"/>
      <c r="B570" s="14" t="s">
        <v>145</v>
      </c>
      <c r="C570" s="9" t="s">
        <v>144</v>
      </c>
      <c r="D570" s="16">
        <f>D568*0.3</f>
        <v>474.16799999999995</v>
      </c>
      <c r="E570" s="10"/>
      <c r="F570" s="10"/>
      <c r="G570" s="16">
        <v>27.5</v>
      </c>
      <c r="H570" s="17">
        <f>D570*G570</f>
        <v>13039.619999999999</v>
      </c>
      <c r="I570" s="115"/>
    </row>
    <row r="571" spans="1:10" s="5" customFormat="1" x14ac:dyDescent="0.25">
      <c r="A571" s="137" t="s">
        <v>308</v>
      </c>
      <c r="B571" s="11" t="s">
        <v>38</v>
      </c>
      <c r="C571" s="43"/>
      <c r="D571" s="19"/>
      <c r="E571" s="13"/>
      <c r="F571" s="13"/>
      <c r="G571" s="13"/>
      <c r="H571" s="13"/>
      <c r="I571" s="117"/>
    </row>
    <row r="572" spans="1:10" x14ac:dyDescent="0.25">
      <c r="A572" s="99" t="s">
        <v>309</v>
      </c>
      <c r="B572" s="42" t="s">
        <v>221</v>
      </c>
      <c r="C572" s="37" t="s">
        <v>8</v>
      </c>
      <c r="D572" s="39">
        <v>275.33999999999997</v>
      </c>
      <c r="E572" s="39">
        <v>120</v>
      </c>
      <c r="F572" s="39">
        <f>D572*E572</f>
        <v>33040.799999999996</v>
      </c>
      <c r="G572" s="39">
        <f>H572/D572</f>
        <v>111.00844959686206</v>
      </c>
      <c r="H572" s="39">
        <f>SUM(H573:H582)</f>
        <v>30565.066511999998</v>
      </c>
      <c r="I572" s="100">
        <f>F572+H572</f>
        <v>63605.866511999993</v>
      </c>
    </row>
    <row r="573" spans="1:10" s="80" customFormat="1" x14ac:dyDescent="0.25">
      <c r="A573" s="120"/>
      <c r="B573" s="74" t="s">
        <v>214</v>
      </c>
      <c r="C573" s="75" t="s">
        <v>8</v>
      </c>
      <c r="D573" s="76">
        <f>D572*1.15</f>
        <v>316.64099999999996</v>
      </c>
      <c r="E573" s="77"/>
      <c r="F573" s="78"/>
      <c r="G573" s="64">
        <f>21.12*1.3</f>
        <v>27.456000000000003</v>
      </c>
      <c r="H573" s="79">
        <f>D573*G573</f>
        <v>8693.6952959999999</v>
      </c>
      <c r="I573" s="121"/>
    </row>
    <row r="574" spans="1:10" s="80" customFormat="1" x14ac:dyDescent="0.25">
      <c r="A574" s="120"/>
      <c r="B574" s="74" t="s">
        <v>215</v>
      </c>
      <c r="C574" s="75" t="s">
        <v>222</v>
      </c>
      <c r="D574" s="76">
        <f>4*D572</f>
        <v>1101.3599999999999</v>
      </c>
      <c r="E574" s="77"/>
      <c r="F574" s="78"/>
      <c r="G574" s="77">
        <f>32.24*1.05/3</f>
        <v>11.284000000000001</v>
      </c>
      <c r="H574" s="79">
        <f t="shared" ref="H574:H582" si="72">D574*G574</f>
        <v>12427.74624</v>
      </c>
      <c r="I574" s="121"/>
    </row>
    <row r="575" spans="1:10" s="80" customFormat="1" x14ac:dyDescent="0.25">
      <c r="A575" s="120"/>
      <c r="B575" s="74" t="s">
        <v>216</v>
      </c>
      <c r="C575" s="75" t="s">
        <v>222</v>
      </c>
      <c r="D575" s="76">
        <f>2*D572</f>
        <v>550.67999999999995</v>
      </c>
      <c r="E575" s="77"/>
      <c r="F575" s="78"/>
      <c r="G575" s="77">
        <f>18.28*1.02/3</f>
        <v>6.2152000000000003</v>
      </c>
      <c r="H575" s="79">
        <f t="shared" si="72"/>
        <v>3422.5863359999998</v>
      </c>
      <c r="I575" s="121"/>
    </row>
    <row r="576" spans="1:10" s="80" customFormat="1" x14ac:dyDescent="0.25">
      <c r="A576" s="120"/>
      <c r="B576" s="167" t="s">
        <v>364</v>
      </c>
      <c r="C576" s="180" t="s">
        <v>29</v>
      </c>
      <c r="D576" s="168">
        <f>D572*3</f>
        <v>826.02</v>
      </c>
      <c r="E576" s="181"/>
      <c r="F576" s="181"/>
      <c r="G576" s="181">
        <v>2.6</v>
      </c>
      <c r="H576" s="79">
        <f t="shared" si="72"/>
        <v>2147.652</v>
      </c>
      <c r="I576" s="182"/>
    </row>
    <row r="577" spans="1:10" s="80" customFormat="1" x14ac:dyDescent="0.25">
      <c r="A577" s="120"/>
      <c r="B577" s="167" t="s">
        <v>365</v>
      </c>
      <c r="C577" s="180" t="s">
        <v>29</v>
      </c>
      <c r="D577" s="168">
        <f>D572*4</f>
        <v>1101.3599999999999</v>
      </c>
      <c r="E577" s="181"/>
      <c r="F577" s="181"/>
      <c r="G577" s="181">
        <v>0.9</v>
      </c>
      <c r="H577" s="79">
        <f t="shared" si="72"/>
        <v>991.22399999999993</v>
      </c>
      <c r="I577" s="182"/>
    </row>
    <row r="578" spans="1:10" s="80" customFormat="1" x14ac:dyDescent="0.25">
      <c r="A578" s="120"/>
      <c r="B578" s="74" t="s">
        <v>217</v>
      </c>
      <c r="C578" s="75" t="s">
        <v>29</v>
      </c>
      <c r="D578" s="76">
        <f>25*D572</f>
        <v>6883.4999999999991</v>
      </c>
      <c r="E578" s="77"/>
      <c r="F578" s="78"/>
      <c r="G578" s="77">
        <v>0.1</v>
      </c>
      <c r="H578" s="79">
        <f t="shared" si="72"/>
        <v>688.34999999999991</v>
      </c>
      <c r="I578" s="121"/>
    </row>
    <row r="579" spans="1:10" s="80" customFormat="1" x14ac:dyDescent="0.25">
      <c r="A579" s="120"/>
      <c r="B579" s="167" t="s">
        <v>366</v>
      </c>
      <c r="C579" s="75" t="s">
        <v>29</v>
      </c>
      <c r="D579" s="168">
        <v>1200</v>
      </c>
      <c r="E579" s="77"/>
      <c r="F579" s="181"/>
      <c r="G579" s="181">
        <v>0.2</v>
      </c>
      <c r="H579" s="79">
        <f t="shared" si="72"/>
        <v>240</v>
      </c>
      <c r="I579" s="182"/>
    </row>
    <row r="580" spans="1:10" s="80" customFormat="1" x14ac:dyDescent="0.25">
      <c r="A580" s="120"/>
      <c r="B580" s="74" t="s">
        <v>218</v>
      </c>
      <c r="C580" s="75" t="s">
        <v>29</v>
      </c>
      <c r="D580" s="76">
        <f>10*D572</f>
        <v>2753.3999999999996</v>
      </c>
      <c r="E580" s="77"/>
      <c r="F580" s="78"/>
      <c r="G580" s="77">
        <v>0.2</v>
      </c>
      <c r="H580" s="79">
        <f t="shared" si="72"/>
        <v>550.67999999999995</v>
      </c>
      <c r="I580" s="121"/>
    </row>
    <row r="581" spans="1:10" s="80" customFormat="1" x14ac:dyDescent="0.25">
      <c r="A581" s="120"/>
      <c r="B581" s="74" t="s">
        <v>219</v>
      </c>
      <c r="C581" s="75" t="s">
        <v>220</v>
      </c>
      <c r="D581" s="76">
        <f>4*D572</f>
        <v>1101.3599999999999</v>
      </c>
      <c r="E581" s="77"/>
      <c r="F581" s="78"/>
      <c r="G581" s="77">
        <v>0.5</v>
      </c>
      <c r="H581" s="79">
        <f t="shared" si="72"/>
        <v>550.67999999999995</v>
      </c>
      <c r="I581" s="121"/>
    </row>
    <row r="582" spans="1:10" s="80" customFormat="1" x14ac:dyDescent="0.25">
      <c r="A582" s="120"/>
      <c r="B582" s="74" t="s">
        <v>223</v>
      </c>
      <c r="C582" s="75" t="s">
        <v>47</v>
      </c>
      <c r="D582" s="76">
        <f>0.4*D572</f>
        <v>110.136</v>
      </c>
      <c r="E582" s="77"/>
      <c r="F582" s="78"/>
      <c r="G582" s="77">
        <v>7.74</v>
      </c>
      <c r="H582" s="79">
        <f t="shared" si="72"/>
        <v>852.45263999999997</v>
      </c>
      <c r="I582" s="121"/>
    </row>
    <row r="583" spans="1:10" x14ac:dyDescent="0.25">
      <c r="A583" s="99" t="s">
        <v>310</v>
      </c>
      <c r="B583" s="38" t="s">
        <v>224</v>
      </c>
      <c r="C583" s="37" t="s">
        <v>8</v>
      </c>
      <c r="D583" s="39">
        <v>275.33999999999997</v>
      </c>
      <c r="E583" s="39">
        <v>55</v>
      </c>
      <c r="F583" s="39">
        <f>D583*E583</f>
        <v>15143.699999999999</v>
      </c>
      <c r="G583" s="39">
        <f>H583/D583</f>
        <v>13.1332325</v>
      </c>
      <c r="H583" s="39">
        <f>SUM(H584:H586)</f>
        <v>3616.1042365499998</v>
      </c>
      <c r="I583" s="100">
        <f>F583+H583</f>
        <v>18759.80423655</v>
      </c>
    </row>
    <row r="584" spans="1:10" x14ac:dyDescent="0.25">
      <c r="A584" s="99"/>
      <c r="B584" s="26" t="s">
        <v>52</v>
      </c>
      <c r="C584" s="27" t="s">
        <v>47</v>
      </c>
      <c r="D584" s="16">
        <f>D583*0.15</f>
        <v>41.300999999999995</v>
      </c>
      <c r="E584" s="10"/>
      <c r="F584" s="10"/>
      <c r="G584" s="16">
        <f>6.605*1.03</f>
        <v>6.8031500000000005</v>
      </c>
      <c r="H584" s="17">
        <f>D584*G584</f>
        <v>280.97689815000001</v>
      </c>
      <c r="I584" s="115"/>
    </row>
    <row r="585" spans="1:10" ht="14.25" customHeight="1" x14ac:dyDescent="0.25">
      <c r="A585" s="99"/>
      <c r="B585" s="14" t="s">
        <v>252</v>
      </c>
      <c r="C585" s="9" t="s">
        <v>47</v>
      </c>
      <c r="D585" s="16">
        <f>D583*1.8</f>
        <v>495.61199999999997</v>
      </c>
      <c r="E585" s="10"/>
      <c r="F585" s="10"/>
      <c r="G585" s="16">
        <f>81.95/30</f>
        <v>2.7316666666666669</v>
      </c>
      <c r="H585" s="17">
        <f t="shared" ref="H585:H586" si="73">D585*G585</f>
        <v>1353.8467800000001</v>
      </c>
      <c r="I585" s="115"/>
      <c r="J585" s="1">
        <v>81.95</v>
      </c>
    </row>
    <row r="586" spans="1:10" ht="14.25" customHeight="1" x14ac:dyDescent="0.25">
      <c r="A586" s="99"/>
      <c r="B586" s="14" t="s">
        <v>141</v>
      </c>
      <c r="C586" s="9" t="s">
        <v>47</v>
      </c>
      <c r="D586" s="16">
        <f>D583*1.3</f>
        <v>357.94200000000001</v>
      </c>
      <c r="E586" s="10"/>
      <c r="F586" s="10"/>
      <c r="G586" s="16">
        <f>138.38/25</f>
        <v>5.5351999999999997</v>
      </c>
      <c r="H586" s="17">
        <f t="shared" si="73"/>
        <v>1981.2805584</v>
      </c>
      <c r="I586" s="115"/>
      <c r="J586" s="1">
        <v>81.95</v>
      </c>
    </row>
    <row r="587" spans="1:10" x14ac:dyDescent="0.25">
      <c r="A587" s="99" t="s">
        <v>311</v>
      </c>
      <c r="B587" s="38" t="s">
        <v>203</v>
      </c>
      <c r="C587" s="37" t="s">
        <v>8</v>
      </c>
      <c r="D587" s="39">
        <v>275.33999999999997</v>
      </c>
      <c r="E587" s="39">
        <v>30</v>
      </c>
      <c r="F587" s="39">
        <f>D587*E587</f>
        <v>8260.1999999999989</v>
      </c>
      <c r="G587" s="39">
        <f>H587/D587</f>
        <v>9.2704725000000003</v>
      </c>
      <c r="H587" s="39">
        <f>SUM(H588:H589)</f>
        <v>2552.53189815</v>
      </c>
      <c r="I587" s="100">
        <f>F587+H587</f>
        <v>10812.731898149999</v>
      </c>
    </row>
    <row r="588" spans="1:10" x14ac:dyDescent="0.25">
      <c r="A588" s="99"/>
      <c r="B588" s="26" t="s">
        <v>52</v>
      </c>
      <c r="C588" s="27" t="s">
        <v>47</v>
      </c>
      <c r="D588" s="16">
        <f>D587*0.15</f>
        <v>41.300999999999995</v>
      </c>
      <c r="E588" s="10"/>
      <c r="F588" s="10"/>
      <c r="G588" s="16">
        <f>6.605*1.03</f>
        <v>6.8031500000000005</v>
      </c>
      <c r="H588" s="17">
        <f>D588*G588</f>
        <v>280.97689815000001</v>
      </c>
      <c r="I588" s="115"/>
    </row>
    <row r="589" spans="1:10" ht="14.25" customHeight="1" x14ac:dyDescent="0.25">
      <c r="A589" s="99"/>
      <c r="B589" s="14" t="s">
        <v>145</v>
      </c>
      <c r="C589" s="9" t="s">
        <v>144</v>
      </c>
      <c r="D589" s="16">
        <f>D587*0.3</f>
        <v>82.60199999999999</v>
      </c>
      <c r="E589" s="10"/>
      <c r="F589" s="10"/>
      <c r="G589" s="16">
        <v>27.5</v>
      </c>
      <c r="H589" s="17">
        <f>D589*G589</f>
        <v>2271.5549999999998</v>
      </c>
      <c r="I589" s="115"/>
    </row>
    <row r="590" spans="1:10" x14ac:dyDescent="0.25">
      <c r="A590" s="99" t="s">
        <v>312</v>
      </c>
      <c r="B590" s="38" t="s">
        <v>209</v>
      </c>
      <c r="C590" s="37" t="s">
        <v>12</v>
      </c>
      <c r="D590" s="39">
        <v>259.12</v>
      </c>
      <c r="E590" s="39">
        <v>18</v>
      </c>
      <c r="F590" s="39">
        <f>D590*E590</f>
        <v>4664.16</v>
      </c>
      <c r="G590" s="39">
        <f>H590/D590</f>
        <v>15.058125</v>
      </c>
      <c r="H590" s="39">
        <f>SUM(H591:H592)</f>
        <v>3901.8613500000001</v>
      </c>
      <c r="I590" s="100">
        <f>F590+H590</f>
        <v>8566.0213499999991</v>
      </c>
    </row>
    <row r="591" spans="1:10" x14ac:dyDescent="0.25">
      <c r="A591" s="95"/>
      <c r="B591" s="165" t="s">
        <v>210</v>
      </c>
      <c r="C591" s="9"/>
      <c r="D591" s="16">
        <f>D590*1.05</f>
        <v>272.07600000000002</v>
      </c>
      <c r="E591" s="10"/>
      <c r="F591" s="10"/>
      <c r="G591" s="16">
        <f>9.53*1.25</f>
        <v>11.9125</v>
      </c>
      <c r="H591" s="16">
        <f>D591*G591</f>
        <v>3241.1053500000003</v>
      </c>
      <c r="I591" s="115"/>
    </row>
    <row r="592" spans="1:10" x14ac:dyDescent="0.25">
      <c r="A592" s="95"/>
      <c r="B592" s="166" t="s">
        <v>363</v>
      </c>
      <c r="C592" s="9" t="s">
        <v>47</v>
      </c>
      <c r="D592" s="16">
        <f>D590*0.12</f>
        <v>31.0944</v>
      </c>
      <c r="E592" s="10"/>
      <c r="F592" s="10"/>
      <c r="G592" s="172">
        <v>21.25</v>
      </c>
      <c r="H592" s="16">
        <f>D592*G592</f>
        <v>660.75599999999997</v>
      </c>
      <c r="I592" s="115"/>
    </row>
    <row r="593" spans="1:10" s="5" customFormat="1" x14ac:dyDescent="0.25">
      <c r="A593" s="137" t="s">
        <v>313</v>
      </c>
      <c r="B593" s="11" t="s">
        <v>49</v>
      </c>
      <c r="C593" s="43"/>
      <c r="D593" s="12"/>
      <c r="E593" s="13"/>
      <c r="F593" s="13"/>
      <c r="G593" s="13"/>
      <c r="H593" s="13"/>
      <c r="I593" s="117"/>
    </row>
    <row r="594" spans="1:10" x14ac:dyDescent="0.25">
      <c r="A594" s="99" t="s">
        <v>314</v>
      </c>
      <c r="B594" s="38" t="s">
        <v>202</v>
      </c>
      <c r="C594" s="9"/>
      <c r="D594" s="39">
        <v>2385.65</v>
      </c>
      <c r="E594" s="39">
        <v>55</v>
      </c>
      <c r="F594" s="39">
        <f>D594*E594</f>
        <v>131210.75</v>
      </c>
      <c r="G594" s="39">
        <f>H594/D594</f>
        <v>13.1332325</v>
      </c>
      <c r="H594" s="39">
        <f>SUM(H595:H597)</f>
        <v>31331.296113625001</v>
      </c>
      <c r="I594" s="100">
        <f>F594+H594</f>
        <v>162542.04611362499</v>
      </c>
    </row>
    <row r="595" spans="1:10" x14ac:dyDescent="0.25">
      <c r="A595" s="99"/>
      <c r="B595" s="26" t="s">
        <v>52</v>
      </c>
      <c r="C595" s="27" t="s">
        <v>47</v>
      </c>
      <c r="D595" s="16">
        <f>D594*0.15</f>
        <v>357.84750000000003</v>
      </c>
      <c r="E595" s="10"/>
      <c r="F595" s="10"/>
      <c r="G595" s="16">
        <f>6.605*1.03</f>
        <v>6.8031500000000005</v>
      </c>
      <c r="H595" s="17">
        <f>D595*G595</f>
        <v>2434.4902196250005</v>
      </c>
      <c r="I595" s="115"/>
    </row>
    <row r="596" spans="1:10" ht="14.25" customHeight="1" x14ac:dyDescent="0.25">
      <c r="A596" s="99"/>
      <c r="B596" s="14" t="s">
        <v>252</v>
      </c>
      <c r="C596" s="9" t="s">
        <v>47</v>
      </c>
      <c r="D596" s="16">
        <f>D594*1.8</f>
        <v>4294.17</v>
      </c>
      <c r="E596" s="10"/>
      <c r="F596" s="10"/>
      <c r="G596" s="16">
        <f>81.95/30</f>
        <v>2.7316666666666669</v>
      </c>
      <c r="H596" s="17">
        <f t="shared" ref="H596:H597" si="74">D596*G596</f>
        <v>11730.241050000001</v>
      </c>
      <c r="I596" s="115"/>
      <c r="J596" s="1">
        <v>81.95</v>
      </c>
    </row>
    <row r="597" spans="1:10" ht="14.25" customHeight="1" x14ac:dyDescent="0.25">
      <c r="A597" s="99"/>
      <c r="B597" s="14" t="s">
        <v>141</v>
      </c>
      <c r="C597" s="9" t="s">
        <v>47</v>
      </c>
      <c r="D597" s="16">
        <f>D594*1.3</f>
        <v>3101.3450000000003</v>
      </c>
      <c r="E597" s="10"/>
      <c r="F597" s="10"/>
      <c r="G597" s="16">
        <f>138.38/25</f>
        <v>5.5351999999999997</v>
      </c>
      <c r="H597" s="17">
        <f t="shared" si="74"/>
        <v>17166.564844</v>
      </c>
      <c r="I597" s="115"/>
      <c r="J597" s="1">
        <v>81.95</v>
      </c>
    </row>
    <row r="598" spans="1:10" x14ac:dyDescent="0.25">
      <c r="A598" s="99" t="s">
        <v>315</v>
      </c>
      <c r="B598" s="38" t="s">
        <v>203</v>
      </c>
      <c r="C598" s="37" t="s">
        <v>8</v>
      </c>
      <c r="D598" s="39">
        <v>2385.65</v>
      </c>
      <c r="E598" s="39">
        <v>30</v>
      </c>
      <c r="F598" s="39">
        <f>D598*E598</f>
        <v>71569.5</v>
      </c>
      <c r="G598" s="39">
        <f>H598/D598</f>
        <v>9.2704725000000003</v>
      </c>
      <c r="H598" s="39">
        <f>SUM(H599:H600)</f>
        <v>22116.102719625003</v>
      </c>
      <c r="I598" s="100">
        <f>F598+H598</f>
        <v>93685.602719625007</v>
      </c>
    </row>
    <row r="599" spans="1:10" x14ac:dyDescent="0.25">
      <c r="A599" s="99"/>
      <c r="B599" s="26" t="s">
        <v>52</v>
      </c>
      <c r="C599" s="27" t="s">
        <v>47</v>
      </c>
      <c r="D599" s="16">
        <f>D598*0.15</f>
        <v>357.84750000000003</v>
      </c>
      <c r="E599" s="10"/>
      <c r="F599" s="10"/>
      <c r="G599" s="16">
        <f>6.605*1.03</f>
        <v>6.8031500000000005</v>
      </c>
      <c r="H599" s="17">
        <f>D599*G599</f>
        <v>2434.4902196250005</v>
      </c>
      <c r="I599" s="115"/>
    </row>
    <row r="600" spans="1:10" ht="14.25" customHeight="1" x14ac:dyDescent="0.25">
      <c r="A600" s="99"/>
      <c r="B600" s="14" t="s">
        <v>145</v>
      </c>
      <c r="C600" s="9" t="s">
        <v>144</v>
      </c>
      <c r="D600" s="16">
        <f>D598*0.3</f>
        <v>715.69500000000005</v>
      </c>
      <c r="E600" s="10"/>
      <c r="F600" s="10"/>
      <c r="G600" s="16">
        <v>27.5</v>
      </c>
      <c r="H600" s="17">
        <f>D600*G600</f>
        <v>19681.612500000003</v>
      </c>
      <c r="I600" s="115"/>
    </row>
    <row r="601" spans="1:10" x14ac:dyDescent="0.25">
      <c r="A601" s="99" t="s">
        <v>316</v>
      </c>
      <c r="B601" s="38" t="s">
        <v>209</v>
      </c>
      <c r="C601" s="37" t="s">
        <v>12</v>
      </c>
      <c r="D601" s="39">
        <v>2875.72</v>
      </c>
      <c r="E601" s="39">
        <v>18</v>
      </c>
      <c r="F601" s="39">
        <f>D601*E601</f>
        <v>51762.96</v>
      </c>
      <c r="G601" s="39">
        <f>H601/D601</f>
        <v>12.508124999999998</v>
      </c>
      <c r="H601" s="39">
        <f>SUM(H602:H602)</f>
        <v>35969.865224999994</v>
      </c>
      <c r="I601" s="100">
        <f>F601+H601</f>
        <v>87732.825224999993</v>
      </c>
    </row>
    <row r="602" spans="1:10" x14ac:dyDescent="0.25">
      <c r="A602" s="95"/>
      <c r="B602" s="15" t="s">
        <v>392</v>
      </c>
      <c r="C602" s="9" t="s">
        <v>12</v>
      </c>
      <c r="D602" s="16">
        <f>D601*1.05</f>
        <v>3019.5059999999999</v>
      </c>
      <c r="E602" s="10"/>
      <c r="F602" s="10"/>
      <c r="G602" s="16">
        <f>9.53*1.25</f>
        <v>11.9125</v>
      </c>
      <c r="H602" s="16">
        <f>D602*G602</f>
        <v>35969.865224999994</v>
      </c>
      <c r="I602" s="115"/>
    </row>
    <row r="603" spans="1:10" s="5" customFormat="1" x14ac:dyDescent="0.25">
      <c r="A603" s="137" t="s">
        <v>317</v>
      </c>
      <c r="B603" s="11" t="s">
        <v>39</v>
      </c>
      <c r="C603" s="43"/>
      <c r="D603" s="12"/>
      <c r="E603" s="13"/>
      <c r="F603" s="13"/>
      <c r="G603" s="13"/>
      <c r="H603" s="13"/>
      <c r="I603" s="117"/>
    </row>
    <row r="604" spans="1:10" x14ac:dyDescent="0.25">
      <c r="A604" s="99" t="s">
        <v>318</v>
      </c>
      <c r="B604" s="58" t="s">
        <v>201</v>
      </c>
      <c r="C604" s="37" t="s">
        <v>8</v>
      </c>
      <c r="D604" s="39">
        <v>175.7</v>
      </c>
      <c r="E604" s="39">
        <v>65</v>
      </c>
      <c r="F604" s="39">
        <f>D604*E604</f>
        <v>11420.5</v>
      </c>
      <c r="G604" s="39">
        <f>H604/D604</f>
        <v>125.17387249999999</v>
      </c>
      <c r="H604" s="39">
        <f>SUM(H606:H609)</f>
        <v>21993.049398249997</v>
      </c>
      <c r="I604" s="100">
        <f>F604+H604</f>
        <v>33413.549398249997</v>
      </c>
    </row>
    <row r="605" spans="1:10" x14ac:dyDescent="0.25">
      <c r="A605" s="99" t="s">
        <v>319</v>
      </c>
      <c r="B605" s="58" t="s">
        <v>166</v>
      </c>
      <c r="C605" s="37" t="s">
        <v>8</v>
      </c>
      <c r="D605" s="39">
        <v>175.7</v>
      </c>
      <c r="E605" s="39">
        <v>70</v>
      </c>
      <c r="F605" s="39">
        <f>D605*E605</f>
        <v>12299</v>
      </c>
      <c r="G605" s="39">
        <f>H605/D605</f>
        <v>40.813000000000002</v>
      </c>
      <c r="H605" s="39">
        <f>SUM(H610:H611)</f>
        <v>7170.8441000000003</v>
      </c>
      <c r="I605" s="100">
        <f>F605+H605</f>
        <v>19469.844100000002</v>
      </c>
    </row>
    <row r="606" spans="1:10" s="60" customFormat="1" ht="15" customHeight="1" outlineLevel="1" x14ac:dyDescent="0.25">
      <c r="A606" s="59"/>
      <c r="B606" s="61" t="s">
        <v>161</v>
      </c>
      <c r="C606" s="27" t="s">
        <v>47</v>
      </c>
      <c r="D606" s="62">
        <f>0.15*D604</f>
        <v>26.354999999999997</v>
      </c>
      <c r="E606" s="63"/>
      <c r="F606" s="65"/>
      <c r="G606" s="16">
        <f>6.605*1.03</f>
        <v>6.8031500000000005</v>
      </c>
      <c r="H606" s="64">
        <f>D606*G606</f>
        <v>179.29701824999998</v>
      </c>
      <c r="I606" s="70"/>
    </row>
    <row r="607" spans="1:10" s="60" customFormat="1" ht="15" customHeight="1" outlineLevel="1" x14ac:dyDescent="0.25">
      <c r="A607" s="59"/>
      <c r="B607" s="61" t="s">
        <v>162</v>
      </c>
      <c r="C607" s="27" t="s">
        <v>47</v>
      </c>
      <c r="D607" s="62">
        <f>6*D604</f>
        <v>1054.1999999999998</v>
      </c>
      <c r="E607" s="63"/>
      <c r="F607" s="65"/>
      <c r="G607" s="64">
        <f>G358</f>
        <v>4.46</v>
      </c>
      <c r="H607" s="64">
        <f t="shared" ref="H607:H611" si="75">D607*G607</f>
        <v>4701.7319999999991</v>
      </c>
      <c r="I607" s="70"/>
    </row>
    <row r="608" spans="1:10" s="60" customFormat="1" ht="15" customHeight="1" outlineLevel="1" x14ac:dyDescent="0.25">
      <c r="A608" s="59"/>
      <c r="B608" s="61" t="s">
        <v>394</v>
      </c>
      <c r="C608" s="27" t="s">
        <v>111</v>
      </c>
      <c r="D608" s="62">
        <f>1.05*0.05*D604</f>
        <v>9.2242499999999996</v>
      </c>
      <c r="E608" s="63"/>
      <c r="F608" s="65"/>
      <c r="G608" s="64">
        <v>1494</v>
      </c>
      <c r="H608" s="64">
        <f t="shared" si="75"/>
        <v>13781.029499999999</v>
      </c>
      <c r="I608" s="70"/>
    </row>
    <row r="609" spans="1:10" s="60" customFormat="1" ht="30" outlineLevel="1" x14ac:dyDescent="0.25">
      <c r="A609" s="59"/>
      <c r="B609" s="61" t="s">
        <v>359</v>
      </c>
      <c r="C609" s="27" t="s">
        <v>163</v>
      </c>
      <c r="D609" s="62">
        <f>8*D604</f>
        <v>1405.6</v>
      </c>
      <c r="E609" s="63"/>
      <c r="F609" s="65"/>
      <c r="G609" s="64">
        <f>118.49/50</f>
        <v>2.3697999999999997</v>
      </c>
      <c r="H609" s="64">
        <f t="shared" si="75"/>
        <v>3330.9908799999994</v>
      </c>
      <c r="I609" s="70"/>
    </row>
    <row r="610" spans="1:10" s="60" customFormat="1" ht="15" customHeight="1" outlineLevel="1" x14ac:dyDescent="0.25">
      <c r="A610" s="59"/>
      <c r="B610" s="61" t="s">
        <v>162</v>
      </c>
      <c r="C610" s="27" t="s">
        <v>47</v>
      </c>
      <c r="D610" s="62">
        <f>5*D605</f>
        <v>878.5</v>
      </c>
      <c r="E610" s="63"/>
      <c r="F610" s="65"/>
      <c r="G610" s="64">
        <f>G607</f>
        <v>4.46</v>
      </c>
      <c r="H610" s="64">
        <f t="shared" si="75"/>
        <v>3918.11</v>
      </c>
      <c r="I610" s="70"/>
    </row>
    <row r="611" spans="1:10" s="60" customFormat="1" ht="15" customHeight="1" outlineLevel="1" x14ac:dyDescent="0.25">
      <c r="A611" s="59"/>
      <c r="B611" s="61" t="s">
        <v>164</v>
      </c>
      <c r="C611" s="27" t="s">
        <v>8</v>
      </c>
      <c r="D611" s="62">
        <f>1.1*D605</f>
        <v>193.27</v>
      </c>
      <c r="E611" s="63"/>
      <c r="F611" s="65"/>
      <c r="G611" s="64">
        <f>G362</f>
        <v>16.829999999999998</v>
      </c>
      <c r="H611" s="64">
        <f t="shared" si="75"/>
        <v>3252.7340999999997</v>
      </c>
      <c r="I611" s="70"/>
    </row>
    <row r="612" spans="1:10" x14ac:dyDescent="0.25">
      <c r="A612" s="99" t="s">
        <v>320</v>
      </c>
      <c r="B612" s="38" t="s">
        <v>224</v>
      </c>
      <c r="C612" s="37" t="s">
        <v>8</v>
      </c>
      <c r="D612" s="39">
        <f>D604</f>
        <v>175.7</v>
      </c>
      <c r="E612" s="39">
        <v>55</v>
      </c>
      <c r="F612" s="39">
        <f>D612*E612</f>
        <v>9663.5</v>
      </c>
      <c r="G612" s="39">
        <f>H612/D612</f>
        <v>13.1332325</v>
      </c>
      <c r="H612" s="39">
        <f>SUM(H613:H615)</f>
        <v>2307.50895025</v>
      </c>
      <c r="I612" s="100">
        <f>F612+H612</f>
        <v>11971.00895025</v>
      </c>
    </row>
    <row r="613" spans="1:10" x14ac:dyDescent="0.25">
      <c r="A613" s="99"/>
      <c r="B613" s="26" t="s">
        <v>52</v>
      </c>
      <c r="C613" s="27" t="s">
        <v>47</v>
      </c>
      <c r="D613" s="16">
        <f>D612*0.15</f>
        <v>26.354999999999997</v>
      </c>
      <c r="E613" s="10"/>
      <c r="F613" s="10"/>
      <c r="G613" s="16">
        <f>6.605*1.03</f>
        <v>6.8031500000000005</v>
      </c>
      <c r="H613" s="17">
        <f>D613*G613</f>
        <v>179.29701824999998</v>
      </c>
      <c r="I613" s="115"/>
    </row>
    <row r="614" spans="1:10" ht="14.25" customHeight="1" x14ac:dyDescent="0.25">
      <c r="A614" s="99"/>
      <c r="B614" s="14" t="s">
        <v>252</v>
      </c>
      <c r="C614" s="9" t="s">
        <v>47</v>
      </c>
      <c r="D614" s="16">
        <f>D612*1.8</f>
        <v>316.26</v>
      </c>
      <c r="E614" s="10"/>
      <c r="F614" s="10"/>
      <c r="G614" s="16">
        <f>81.95/30</f>
        <v>2.7316666666666669</v>
      </c>
      <c r="H614" s="17">
        <f t="shared" ref="H614:H615" si="76">D614*G614</f>
        <v>863.91690000000006</v>
      </c>
      <c r="I614" s="115"/>
      <c r="J614" s="1">
        <v>81.95</v>
      </c>
    </row>
    <row r="615" spans="1:10" ht="14.25" customHeight="1" x14ac:dyDescent="0.25">
      <c r="A615" s="99"/>
      <c r="B615" s="14" t="s">
        <v>141</v>
      </c>
      <c r="C615" s="9" t="s">
        <v>47</v>
      </c>
      <c r="D615" s="16">
        <f>D612*1.3</f>
        <v>228.41</v>
      </c>
      <c r="E615" s="10"/>
      <c r="F615" s="10"/>
      <c r="G615" s="16">
        <f>138.38/25</f>
        <v>5.5351999999999997</v>
      </c>
      <c r="H615" s="17">
        <f t="shared" si="76"/>
        <v>1264.295032</v>
      </c>
      <c r="I615" s="115"/>
      <c r="J615" s="1">
        <v>81.95</v>
      </c>
    </row>
    <row r="616" spans="1:10" x14ac:dyDescent="0.25">
      <c r="A616" s="99" t="s">
        <v>321</v>
      </c>
      <c r="B616" s="38" t="s">
        <v>203</v>
      </c>
      <c r="C616" s="37" t="s">
        <v>8</v>
      </c>
      <c r="D616" s="39">
        <f>D604</f>
        <v>175.7</v>
      </c>
      <c r="E616" s="39">
        <v>30</v>
      </c>
      <c r="F616" s="39">
        <f>D616*E616</f>
        <v>5271</v>
      </c>
      <c r="G616" s="39">
        <f>H616/D616</f>
        <v>9.2704725000000003</v>
      </c>
      <c r="H616" s="39">
        <f>SUM(H617:H618)</f>
        <v>1628.8220182499999</v>
      </c>
      <c r="I616" s="100">
        <f>F616+H616</f>
        <v>6899.8220182499999</v>
      </c>
    </row>
    <row r="617" spans="1:10" x14ac:dyDescent="0.25">
      <c r="A617" s="99"/>
      <c r="B617" s="26" t="s">
        <v>52</v>
      </c>
      <c r="C617" s="27" t="s">
        <v>47</v>
      </c>
      <c r="D617" s="16">
        <f>D616*0.15</f>
        <v>26.354999999999997</v>
      </c>
      <c r="E617" s="10"/>
      <c r="F617" s="10"/>
      <c r="G617" s="16">
        <f>6.605*1.03</f>
        <v>6.8031500000000005</v>
      </c>
      <c r="H617" s="17">
        <f>D617*G617</f>
        <v>179.29701824999998</v>
      </c>
      <c r="I617" s="115"/>
    </row>
    <row r="618" spans="1:10" ht="14.25" customHeight="1" x14ac:dyDescent="0.25">
      <c r="A618" s="99"/>
      <c r="B618" s="14" t="s">
        <v>145</v>
      </c>
      <c r="C618" s="9" t="s">
        <v>144</v>
      </c>
      <c r="D618" s="16">
        <f>D616*0.3</f>
        <v>52.709999999999994</v>
      </c>
      <c r="E618" s="10"/>
      <c r="F618" s="10"/>
      <c r="G618" s="16">
        <v>27.5</v>
      </c>
      <c r="H618" s="17">
        <f>D618*G618</f>
        <v>1449.5249999999999</v>
      </c>
      <c r="I618" s="115"/>
    </row>
    <row r="619" spans="1:10" s="5" customFormat="1" ht="15.75" customHeight="1" x14ac:dyDescent="0.25">
      <c r="A619" s="137" t="s">
        <v>322</v>
      </c>
      <c r="B619" s="11" t="s">
        <v>40</v>
      </c>
      <c r="C619" s="43"/>
      <c r="D619" s="12"/>
      <c r="E619" s="13"/>
      <c r="F619" s="13"/>
      <c r="G619" s="13"/>
      <c r="H619" s="13"/>
      <c r="I619" s="117"/>
    </row>
    <row r="620" spans="1:10" x14ac:dyDescent="0.25">
      <c r="A620" s="99" t="s">
        <v>323</v>
      </c>
      <c r="B620" s="58" t="s">
        <v>240</v>
      </c>
      <c r="C620" s="37" t="s">
        <v>8</v>
      </c>
      <c r="D620" s="39">
        <v>177.06</v>
      </c>
      <c r="E620" s="39">
        <v>65</v>
      </c>
      <c r="F620" s="39">
        <f>D620*E620</f>
        <v>11508.9</v>
      </c>
      <c r="G620" s="39">
        <f>H620/D620</f>
        <v>205.88700081808426</v>
      </c>
      <c r="H620" s="39">
        <f>SUM(H622:H625)</f>
        <v>36454.352364849998</v>
      </c>
      <c r="I620" s="100">
        <f>F620+H620</f>
        <v>47963.252364849999</v>
      </c>
    </row>
    <row r="621" spans="1:10" x14ac:dyDescent="0.25">
      <c r="A621" s="99" t="s">
        <v>324</v>
      </c>
      <c r="B621" s="58" t="s">
        <v>166</v>
      </c>
      <c r="C621" s="37" t="s">
        <v>8</v>
      </c>
      <c r="D621" s="39">
        <v>177.06</v>
      </c>
      <c r="E621" s="39">
        <v>70</v>
      </c>
      <c r="F621" s="39">
        <f>D621*E621</f>
        <v>12394.2</v>
      </c>
      <c r="G621" s="39">
        <f>H621/D621</f>
        <v>50.217999999999996</v>
      </c>
      <c r="H621" s="39">
        <f>SUM(H626:H628)</f>
        <v>8891.59908</v>
      </c>
      <c r="I621" s="100">
        <f>F621+H621</f>
        <v>21285.799080000001</v>
      </c>
    </row>
    <row r="622" spans="1:10" s="60" customFormat="1" ht="15" customHeight="1" outlineLevel="1" x14ac:dyDescent="0.25">
      <c r="A622" s="59"/>
      <c r="B622" s="61" t="s">
        <v>161</v>
      </c>
      <c r="C622" s="27" t="s">
        <v>47</v>
      </c>
      <c r="D622" s="62">
        <f>0.15*D620</f>
        <v>26.559000000000001</v>
      </c>
      <c r="E622" s="63"/>
      <c r="F622" s="65"/>
      <c r="G622" s="16">
        <f>6.605*1.03</f>
        <v>6.8031500000000005</v>
      </c>
      <c r="H622" s="64">
        <f>D622*G622</f>
        <v>180.68486085000001</v>
      </c>
      <c r="I622" s="70"/>
    </row>
    <row r="623" spans="1:10" s="60" customFormat="1" ht="15" customHeight="1" outlineLevel="1" x14ac:dyDescent="0.25">
      <c r="A623" s="59"/>
      <c r="B623" s="61" t="s">
        <v>162</v>
      </c>
      <c r="C623" s="27" t="s">
        <v>47</v>
      </c>
      <c r="D623" s="62">
        <f>5*D620</f>
        <v>885.3</v>
      </c>
      <c r="E623" s="63"/>
      <c r="F623" s="65"/>
      <c r="G623" s="64">
        <f>G358</f>
        <v>4.46</v>
      </c>
      <c r="H623" s="64">
        <f t="shared" ref="H623:H628" si="77">D623*G623</f>
        <v>3948.4379999999996</v>
      </c>
      <c r="I623" s="70"/>
    </row>
    <row r="624" spans="1:10" s="60" customFormat="1" ht="15" customHeight="1" outlineLevel="1" x14ac:dyDescent="0.25">
      <c r="A624" s="59"/>
      <c r="B624" s="61" t="s">
        <v>395</v>
      </c>
      <c r="C624" s="27" t="s">
        <v>111</v>
      </c>
      <c r="D624" s="62">
        <f>1.05*0.1*D620</f>
        <v>18.5913</v>
      </c>
      <c r="E624" s="63"/>
      <c r="F624" s="65"/>
      <c r="G624" s="64">
        <v>1494</v>
      </c>
      <c r="H624" s="64">
        <f t="shared" si="77"/>
        <v>27775.4022</v>
      </c>
      <c r="I624" s="70"/>
    </row>
    <row r="625" spans="1:10" s="60" customFormat="1" ht="30" outlineLevel="1" x14ac:dyDescent="0.25">
      <c r="A625" s="59"/>
      <c r="B625" s="61" t="s">
        <v>167</v>
      </c>
      <c r="C625" s="27" t="s">
        <v>163</v>
      </c>
      <c r="D625" s="160">
        <f>8*D620+1</f>
        <v>1417.48</v>
      </c>
      <c r="E625" s="63"/>
      <c r="F625" s="65"/>
      <c r="G625" s="64">
        <f>160.49/50</f>
        <v>3.2098</v>
      </c>
      <c r="H625" s="64">
        <f t="shared" si="77"/>
        <v>4549.8273040000004</v>
      </c>
      <c r="I625" s="70"/>
    </row>
    <row r="626" spans="1:10" s="60" customFormat="1" ht="15" customHeight="1" outlineLevel="1" x14ac:dyDescent="0.25">
      <c r="A626" s="59"/>
      <c r="B626" s="61" t="s">
        <v>162</v>
      </c>
      <c r="C626" s="27" t="s">
        <v>47</v>
      </c>
      <c r="D626" s="62">
        <f>6*D621</f>
        <v>1062.3600000000001</v>
      </c>
      <c r="E626" s="63"/>
      <c r="F626" s="65"/>
      <c r="G626" s="64">
        <f>G623</f>
        <v>4.46</v>
      </c>
      <c r="H626" s="64">
        <f t="shared" si="77"/>
        <v>4738.1256000000003</v>
      </c>
      <c r="I626" s="70"/>
    </row>
    <row r="627" spans="1:10" s="60" customFormat="1" ht="15" customHeight="1" outlineLevel="1" x14ac:dyDescent="0.25">
      <c r="A627" s="59"/>
      <c r="B627" s="61" t="s">
        <v>164</v>
      </c>
      <c r="C627" s="27" t="s">
        <v>8</v>
      </c>
      <c r="D627" s="62">
        <f>1.1*D621</f>
        <v>194.76600000000002</v>
      </c>
      <c r="E627" s="63"/>
      <c r="F627" s="65"/>
      <c r="G627" s="64">
        <f>G362</f>
        <v>16.829999999999998</v>
      </c>
      <c r="H627" s="64">
        <f t="shared" si="77"/>
        <v>3277.9117799999999</v>
      </c>
      <c r="I627" s="70"/>
    </row>
    <row r="628" spans="1:10" s="60" customFormat="1" ht="15" customHeight="1" outlineLevel="1" x14ac:dyDescent="0.25">
      <c r="A628" s="59"/>
      <c r="B628" s="61" t="s">
        <v>165</v>
      </c>
      <c r="C628" s="27" t="s">
        <v>47</v>
      </c>
      <c r="D628" s="62">
        <f>0.25*D620</f>
        <v>44.265000000000001</v>
      </c>
      <c r="E628" s="63"/>
      <c r="F628" s="65"/>
      <c r="G628" s="64">
        <v>19.78</v>
      </c>
      <c r="H628" s="64">
        <f t="shared" si="77"/>
        <v>875.56170000000009</v>
      </c>
      <c r="I628" s="70"/>
    </row>
    <row r="629" spans="1:10" x14ac:dyDescent="0.25">
      <c r="A629" s="99" t="s">
        <v>325</v>
      </c>
      <c r="B629" s="38" t="s">
        <v>224</v>
      </c>
      <c r="C629" s="37" t="s">
        <v>8</v>
      </c>
      <c r="D629" s="39">
        <f>D620</f>
        <v>177.06</v>
      </c>
      <c r="E629" s="39">
        <v>55</v>
      </c>
      <c r="F629" s="39">
        <f>D629*E629</f>
        <v>9738.2999999999993</v>
      </c>
      <c r="G629" s="39">
        <f>H629/D629</f>
        <v>13.1332325</v>
      </c>
      <c r="H629" s="39">
        <f>SUM(H630:H632)</f>
        <v>2325.37014645</v>
      </c>
      <c r="I629" s="100">
        <f>F629+H629</f>
        <v>12063.67014645</v>
      </c>
    </row>
    <row r="630" spans="1:10" x14ac:dyDescent="0.25">
      <c r="A630" s="99"/>
      <c r="B630" s="26" t="s">
        <v>52</v>
      </c>
      <c r="C630" s="27" t="s">
        <v>47</v>
      </c>
      <c r="D630" s="16">
        <f>D629*0.15</f>
        <v>26.559000000000001</v>
      </c>
      <c r="E630" s="10"/>
      <c r="F630" s="10"/>
      <c r="G630" s="16">
        <f>6.605*1.03</f>
        <v>6.8031500000000005</v>
      </c>
      <c r="H630" s="17">
        <f>D630*G630</f>
        <v>180.68486085000001</v>
      </c>
      <c r="I630" s="115"/>
    </row>
    <row r="631" spans="1:10" ht="14.25" customHeight="1" x14ac:dyDescent="0.25">
      <c r="A631" s="99"/>
      <c r="B631" s="14" t="s">
        <v>252</v>
      </c>
      <c r="C631" s="9" t="s">
        <v>47</v>
      </c>
      <c r="D631" s="16">
        <f>D629*1.8</f>
        <v>318.70800000000003</v>
      </c>
      <c r="E631" s="10"/>
      <c r="F631" s="10"/>
      <c r="G631" s="16">
        <f>81.95/30</f>
        <v>2.7316666666666669</v>
      </c>
      <c r="H631" s="17">
        <f t="shared" ref="H631:H632" si="78">D631*G631</f>
        <v>870.60402000000011</v>
      </c>
      <c r="I631" s="115"/>
      <c r="J631" s="1">
        <v>81.95</v>
      </c>
    </row>
    <row r="632" spans="1:10" ht="14.25" customHeight="1" x14ac:dyDescent="0.25">
      <c r="A632" s="99"/>
      <c r="B632" s="14" t="s">
        <v>141</v>
      </c>
      <c r="C632" s="9" t="s">
        <v>47</v>
      </c>
      <c r="D632" s="16">
        <f>D629*1.3</f>
        <v>230.178</v>
      </c>
      <c r="E632" s="10"/>
      <c r="F632" s="10"/>
      <c r="G632" s="16">
        <f>138.38/25</f>
        <v>5.5351999999999997</v>
      </c>
      <c r="H632" s="17">
        <f t="shared" si="78"/>
        <v>1274.0812655999998</v>
      </c>
      <c r="I632" s="115"/>
      <c r="J632" s="1">
        <v>81.95</v>
      </c>
    </row>
    <row r="633" spans="1:10" x14ac:dyDescent="0.25">
      <c r="A633" s="99" t="s">
        <v>326</v>
      </c>
      <c r="B633" s="38" t="s">
        <v>203</v>
      </c>
      <c r="C633" s="37" t="s">
        <v>8</v>
      </c>
      <c r="D633" s="39">
        <f>D620</f>
        <v>177.06</v>
      </c>
      <c r="E633" s="39">
        <v>30</v>
      </c>
      <c r="F633" s="39">
        <f>D633*E633</f>
        <v>5311.8</v>
      </c>
      <c r="G633" s="39">
        <f>H633/D633</f>
        <v>9.2704725000000003</v>
      </c>
      <c r="H633" s="39">
        <f>SUM(H634:H635)</f>
        <v>1641.4298608500001</v>
      </c>
      <c r="I633" s="100">
        <f>F633+H633</f>
        <v>6953.2298608500005</v>
      </c>
    </row>
    <row r="634" spans="1:10" x14ac:dyDescent="0.25">
      <c r="A634" s="99"/>
      <c r="B634" s="26" t="s">
        <v>52</v>
      </c>
      <c r="C634" s="27" t="s">
        <v>47</v>
      </c>
      <c r="D634" s="16">
        <f>D633*0.15</f>
        <v>26.559000000000001</v>
      </c>
      <c r="E634" s="10"/>
      <c r="F634" s="10"/>
      <c r="G634" s="16">
        <f>6.605*1.03</f>
        <v>6.8031500000000005</v>
      </c>
      <c r="H634" s="17">
        <f>D634*G634</f>
        <v>180.68486085000001</v>
      </c>
      <c r="I634" s="115"/>
    </row>
    <row r="635" spans="1:10" ht="14.25" customHeight="1" x14ac:dyDescent="0.25">
      <c r="A635" s="99"/>
      <c r="B635" s="14" t="s">
        <v>145</v>
      </c>
      <c r="C635" s="9" t="s">
        <v>144</v>
      </c>
      <c r="D635" s="16">
        <f>D633*0.3</f>
        <v>53.118000000000002</v>
      </c>
      <c r="E635" s="10"/>
      <c r="F635" s="10"/>
      <c r="G635" s="16">
        <v>27.5</v>
      </c>
      <c r="H635" s="17">
        <f>D635*G635</f>
        <v>1460.7450000000001</v>
      </c>
      <c r="I635" s="115"/>
    </row>
    <row r="636" spans="1:10" s="5" customFormat="1" x14ac:dyDescent="0.25">
      <c r="A636" s="137" t="s">
        <v>327</v>
      </c>
      <c r="B636" s="11" t="s">
        <v>41</v>
      </c>
      <c r="C636" s="43"/>
      <c r="D636" s="12"/>
      <c r="E636" s="13"/>
      <c r="F636" s="13"/>
      <c r="G636" s="13"/>
      <c r="H636" s="13"/>
      <c r="I636" s="117"/>
    </row>
    <row r="637" spans="1:10" x14ac:dyDescent="0.25">
      <c r="A637" s="99" t="s">
        <v>328</v>
      </c>
      <c r="B637" s="42" t="s">
        <v>201</v>
      </c>
      <c r="C637" s="37" t="s">
        <v>8</v>
      </c>
      <c r="D637" s="39">
        <v>42.56</v>
      </c>
      <c r="E637" s="39">
        <v>65</v>
      </c>
      <c r="F637" s="39">
        <f>D637*E637</f>
        <v>2766.4</v>
      </c>
      <c r="G637" s="39">
        <f>H637/D637</f>
        <v>127.50929073308272</v>
      </c>
      <c r="H637" s="39">
        <f>SUM(H639:H642)</f>
        <v>5426.7954136000008</v>
      </c>
      <c r="I637" s="100">
        <f>F637+H637</f>
        <v>8193.1954136000004</v>
      </c>
    </row>
    <row r="638" spans="1:10" x14ac:dyDescent="0.25">
      <c r="A638" s="99" t="s">
        <v>329</v>
      </c>
      <c r="B638" s="42" t="s">
        <v>166</v>
      </c>
      <c r="C638" s="37" t="s">
        <v>8</v>
      </c>
      <c r="D638" s="39">
        <v>42.56</v>
      </c>
      <c r="E638" s="39">
        <v>70</v>
      </c>
      <c r="F638" s="39">
        <f>D638*E638</f>
        <v>2979.2000000000003</v>
      </c>
      <c r="G638" s="39">
        <f>H638/D638</f>
        <v>40.813000000000002</v>
      </c>
      <c r="H638" s="39">
        <f>SUM(H643:H644)</f>
        <v>1737.0012800000002</v>
      </c>
      <c r="I638" s="100">
        <f>F638+H638</f>
        <v>4716.2012800000002</v>
      </c>
    </row>
    <row r="639" spans="1:10" s="60" customFormat="1" ht="15" customHeight="1" outlineLevel="1" x14ac:dyDescent="0.25">
      <c r="A639" s="59"/>
      <c r="B639" s="61" t="s">
        <v>161</v>
      </c>
      <c r="C639" s="27" t="s">
        <v>47</v>
      </c>
      <c r="D639" s="62">
        <f>0.15*D637</f>
        <v>6.3840000000000003</v>
      </c>
      <c r="E639" s="63"/>
      <c r="F639" s="65"/>
      <c r="G639" s="16">
        <f>6.605*1.03</f>
        <v>6.8031500000000005</v>
      </c>
      <c r="H639" s="64">
        <f>D639*G639</f>
        <v>43.431309600000006</v>
      </c>
      <c r="I639" s="70"/>
    </row>
    <row r="640" spans="1:10" s="60" customFormat="1" ht="15" customHeight="1" outlineLevel="1" x14ac:dyDescent="0.25">
      <c r="A640" s="59"/>
      <c r="B640" s="61" t="s">
        <v>162</v>
      </c>
      <c r="C640" s="27" t="s">
        <v>47</v>
      </c>
      <c r="D640" s="62">
        <f>5*D637</f>
        <v>212.8</v>
      </c>
      <c r="E640" s="63"/>
      <c r="F640" s="65"/>
      <c r="G640" s="64">
        <f>G358</f>
        <v>4.46</v>
      </c>
      <c r="H640" s="64">
        <f t="shared" ref="H640:H644" si="79">D640*G640</f>
        <v>949.08800000000008</v>
      </c>
      <c r="I640" s="70"/>
    </row>
    <row r="641" spans="1:10" s="60" customFormat="1" ht="15" customHeight="1" outlineLevel="1" x14ac:dyDescent="0.25">
      <c r="A641" s="59"/>
      <c r="B641" s="61" t="s">
        <v>394</v>
      </c>
      <c r="C641" s="27" t="s">
        <v>111</v>
      </c>
      <c r="D641" s="62">
        <f>1.05*0.05*D637</f>
        <v>2.2344000000000004</v>
      </c>
      <c r="E641" s="63"/>
      <c r="F641" s="65"/>
      <c r="G641" s="64">
        <v>1494</v>
      </c>
      <c r="H641" s="64">
        <f t="shared" si="79"/>
        <v>3338.1936000000005</v>
      </c>
      <c r="I641" s="70"/>
    </row>
    <row r="642" spans="1:10" s="60" customFormat="1" ht="30" outlineLevel="1" x14ac:dyDescent="0.25">
      <c r="A642" s="59"/>
      <c r="B642" s="61" t="s">
        <v>359</v>
      </c>
      <c r="C642" s="27" t="s">
        <v>163</v>
      </c>
      <c r="D642" s="160">
        <f>8*D637+1</f>
        <v>341.48</v>
      </c>
      <c r="E642" s="63"/>
      <c r="F642" s="65"/>
      <c r="G642" s="64">
        <f>160.49/50</f>
        <v>3.2098</v>
      </c>
      <c r="H642" s="64">
        <f t="shared" si="79"/>
        <v>1096.082504</v>
      </c>
      <c r="I642" s="70"/>
    </row>
    <row r="643" spans="1:10" s="60" customFormat="1" ht="15" customHeight="1" outlineLevel="1" x14ac:dyDescent="0.25">
      <c r="A643" s="59"/>
      <c r="B643" s="61" t="s">
        <v>162</v>
      </c>
      <c r="C643" s="27" t="s">
        <v>47</v>
      </c>
      <c r="D643" s="62">
        <f>5*D638</f>
        <v>212.8</v>
      </c>
      <c r="E643" s="63"/>
      <c r="F643" s="65"/>
      <c r="G643" s="64">
        <f>G640</f>
        <v>4.46</v>
      </c>
      <c r="H643" s="64">
        <f t="shared" si="79"/>
        <v>949.08800000000008</v>
      </c>
      <c r="I643" s="70"/>
    </row>
    <row r="644" spans="1:10" s="60" customFormat="1" ht="15" customHeight="1" outlineLevel="1" x14ac:dyDescent="0.25">
      <c r="A644" s="59"/>
      <c r="B644" s="61" t="s">
        <v>164</v>
      </c>
      <c r="C644" s="27" t="s">
        <v>8</v>
      </c>
      <c r="D644" s="62">
        <f>1.1*D638</f>
        <v>46.81600000000001</v>
      </c>
      <c r="E644" s="63"/>
      <c r="F644" s="65"/>
      <c r="G644" s="64">
        <f>G362</f>
        <v>16.829999999999998</v>
      </c>
      <c r="H644" s="64">
        <f t="shared" si="79"/>
        <v>787.9132800000001</v>
      </c>
      <c r="I644" s="70"/>
    </row>
    <row r="645" spans="1:10" x14ac:dyDescent="0.25">
      <c r="A645" s="99" t="s">
        <v>330</v>
      </c>
      <c r="B645" s="38" t="s">
        <v>224</v>
      </c>
      <c r="C645" s="37" t="s">
        <v>8</v>
      </c>
      <c r="D645" s="39">
        <f>D637</f>
        <v>42.56</v>
      </c>
      <c r="E645" s="39">
        <v>55</v>
      </c>
      <c r="F645" s="39">
        <f>D645*E645</f>
        <v>2340.8000000000002</v>
      </c>
      <c r="G645" s="39">
        <f>H645/D645</f>
        <v>13.1332325</v>
      </c>
      <c r="H645" s="39">
        <f>SUM(H646:H648)</f>
        <v>558.95037520000005</v>
      </c>
      <c r="I645" s="100">
        <f>F645+H645</f>
        <v>2899.7503752000002</v>
      </c>
    </row>
    <row r="646" spans="1:10" x14ac:dyDescent="0.25">
      <c r="A646" s="99"/>
      <c r="B646" s="26" t="s">
        <v>52</v>
      </c>
      <c r="C646" s="27" t="s">
        <v>47</v>
      </c>
      <c r="D646" s="16">
        <f>D645*0.15</f>
        <v>6.3840000000000003</v>
      </c>
      <c r="E646" s="10"/>
      <c r="F646" s="10"/>
      <c r="G646" s="16">
        <f>6.605*1.03</f>
        <v>6.8031500000000005</v>
      </c>
      <c r="H646" s="17">
        <f>D646*G646</f>
        <v>43.431309600000006</v>
      </c>
      <c r="I646" s="100"/>
    </row>
    <row r="647" spans="1:10" ht="14.25" customHeight="1" x14ac:dyDescent="0.25">
      <c r="A647" s="99"/>
      <c r="B647" s="14" t="s">
        <v>252</v>
      </c>
      <c r="C647" s="9" t="s">
        <v>47</v>
      </c>
      <c r="D647" s="16">
        <f>D645*1.8</f>
        <v>76.608000000000004</v>
      </c>
      <c r="E647" s="10"/>
      <c r="F647" s="10"/>
      <c r="G647" s="16">
        <f>81.95/30</f>
        <v>2.7316666666666669</v>
      </c>
      <c r="H647" s="17">
        <f t="shared" ref="H647:H648" si="80">D647*G647</f>
        <v>209.26752000000002</v>
      </c>
      <c r="I647" s="100"/>
      <c r="J647" s="1">
        <v>81.95</v>
      </c>
    </row>
    <row r="648" spans="1:10" ht="14.25" customHeight="1" x14ac:dyDescent="0.25">
      <c r="A648" s="99"/>
      <c r="B648" s="14" t="s">
        <v>141</v>
      </c>
      <c r="C648" s="9" t="s">
        <v>47</v>
      </c>
      <c r="D648" s="16">
        <f>D645*1.3</f>
        <v>55.328000000000003</v>
      </c>
      <c r="E648" s="10"/>
      <c r="F648" s="10"/>
      <c r="G648" s="16">
        <f>138.38/25</f>
        <v>5.5351999999999997</v>
      </c>
      <c r="H648" s="17">
        <f t="shared" si="80"/>
        <v>306.25154559999999</v>
      </c>
      <c r="I648" s="100"/>
      <c r="J648" s="1">
        <v>81.95</v>
      </c>
    </row>
    <row r="649" spans="1:10" x14ac:dyDescent="0.25">
      <c r="A649" s="99" t="s">
        <v>331</v>
      </c>
      <c r="B649" s="38" t="s">
        <v>203</v>
      </c>
      <c r="C649" s="37" t="s">
        <v>8</v>
      </c>
      <c r="D649" s="39">
        <f>D637</f>
        <v>42.56</v>
      </c>
      <c r="E649" s="39">
        <v>30</v>
      </c>
      <c r="F649" s="39">
        <f>D649*E649</f>
        <v>1276.8000000000002</v>
      </c>
      <c r="G649" s="39">
        <f>H649/D649</f>
        <v>9.2704725000000003</v>
      </c>
      <c r="H649" s="39">
        <f>SUM(H650:H651)</f>
        <v>394.55130960000002</v>
      </c>
      <c r="I649" s="100">
        <f>F649+H649</f>
        <v>1671.3513096000001</v>
      </c>
    </row>
    <row r="650" spans="1:10" x14ac:dyDescent="0.25">
      <c r="A650" s="99"/>
      <c r="B650" s="26" t="s">
        <v>52</v>
      </c>
      <c r="C650" s="27" t="s">
        <v>47</v>
      </c>
      <c r="D650" s="16">
        <f>D649*0.15</f>
        <v>6.3840000000000003</v>
      </c>
      <c r="E650" s="10"/>
      <c r="F650" s="10"/>
      <c r="G650" s="16">
        <f>6.605*1.03</f>
        <v>6.8031500000000005</v>
      </c>
      <c r="H650" s="17">
        <f>D650*G650</f>
        <v>43.431309600000006</v>
      </c>
      <c r="I650" s="100"/>
    </row>
    <row r="651" spans="1:10" ht="14.25" customHeight="1" x14ac:dyDescent="0.25">
      <c r="A651" s="99"/>
      <c r="B651" s="14" t="s">
        <v>145</v>
      </c>
      <c r="C651" s="9" t="s">
        <v>144</v>
      </c>
      <c r="D651" s="16">
        <f>D649*0.3</f>
        <v>12.768000000000001</v>
      </c>
      <c r="E651" s="10"/>
      <c r="F651" s="10"/>
      <c r="G651" s="16">
        <v>27.5</v>
      </c>
      <c r="H651" s="17">
        <f>D651*G651</f>
        <v>351.12</v>
      </c>
      <c r="I651" s="100"/>
    </row>
    <row r="652" spans="1:10" s="5" customFormat="1" x14ac:dyDescent="0.25">
      <c r="A652" s="137" t="s">
        <v>332</v>
      </c>
      <c r="B652" s="11" t="s">
        <v>20</v>
      </c>
      <c r="C652" s="43"/>
      <c r="D652" s="12"/>
      <c r="E652" s="13"/>
      <c r="F652" s="13"/>
      <c r="G652" s="13"/>
      <c r="H652" s="13"/>
      <c r="I652" s="100"/>
    </row>
    <row r="653" spans="1:10" x14ac:dyDescent="0.25">
      <c r="A653" s="99" t="s">
        <v>333</v>
      </c>
      <c r="B653" s="58" t="s">
        <v>201</v>
      </c>
      <c r="C653" s="37" t="s">
        <v>8</v>
      </c>
      <c r="D653" s="39">
        <v>10.49</v>
      </c>
      <c r="E653" s="39">
        <v>65</v>
      </c>
      <c r="F653" s="39">
        <f>D653*E653</f>
        <v>681.85</v>
      </c>
      <c r="G653" s="39">
        <f>H653/D653</f>
        <v>127.43387249999999</v>
      </c>
      <c r="H653" s="39">
        <f>SUM(H655:H658)</f>
        <v>1336.781322525</v>
      </c>
      <c r="I653" s="100">
        <f>F653+H653</f>
        <v>2018.6313225250001</v>
      </c>
    </row>
    <row r="654" spans="1:10" x14ac:dyDescent="0.25">
      <c r="A654" s="99" t="s">
        <v>334</v>
      </c>
      <c r="B654" s="58" t="s">
        <v>166</v>
      </c>
      <c r="C654" s="37" t="s">
        <v>8</v>
      </c>
      <c r="D654" s="39">
        <v>10.49</v>
      </c>
      <c r="E654" s="39">
        <v>70</v>
      </c>
      <c r="F654" s="39">
        <f>D654*E654</f>
        <v>734.30000000000007</v>
      </c>
      <c r="G654" s="39">
        <f>H654/D654</f>
        <v>40.813000000000002</v>
      </c>
      <c r="H654" s="39">
        <f>SUM(H659:H660)</f>
        <v>428.12837000000002</v>
      </c>
      <c r="I654" s="100">
        <f>F654+H654</f>
        <v>1162.4283700000001</v>
      </c>
    </row>
    <row r="655" spans="1:10" s="60" customFormat="1" ht="15" customHeight="1" outlineLevel="1" x14ac:dyDescent="0.25">
      <c r="A655" s="59"/>
      <c r="B655" s="61" t="s">
        <v>161</v>
      </c>
      <c r="C655" s="27" t="s">
        <v>47</v>
      </c>
      <c r="D655" s="62">
        <f>0.15*D653</f>
        <v>1.5734999999999999</v>
      </c>
      <c r="E655" s="63"/>
      <c r="F655" s="65"/>
      <c r="G655" s="16">
        <f>6.605*1.03</f>
        <v>6.8031500000000005</v>
      </c>
      <c r="H655" s="64">
        <f>D655*G655</f>
        <v>10.704756525000001</v>
      </c>
      <c r="I655" s="70"/>
    </row>
    <row r="656" spans="1:10" s="60" customFormat="1" ht="15" customHeight="1" outlineLevel="1" x14ac:dyDescent="0.25">
      <c r="A656" s="59"/>
      <c r="B656" s="61" t="s">
        <v>162</v>
      </c>
      <c r="C656" s="27" t="s">
        <v>47</v>
      </c>
      <c r="D656" s="62">
        <f>5*D653</f>
        <v>52.45</v>
      </c>
      <c r="E656" s="63"/>
      <c r="F656" s="65"/>
      <c r="G656" s="64">
        <f>G358</f>
        <v>4.46</v>
      </c>
      <c r="H656" s="64">
        <f t="shared" ref="H656:H660" si="81">D656*G656</f>
        <v>233.92700000000002</v>
      </c>
      <c r="I656" s="70"/>
    </row>
    <row r="657" spans="1:10" s="60" customFormat="1" ht="15" customHeight="1" outlineLevel="1" x14ac:dyDescent="0.25">
      <c r="A657" s="59"/>
      <c r="B657" s="61" t="s">
        <v>394</v>
      </c>
      <c r="C657" s="27" t="s">
        <v>111</v>
      </c>
      <c r="D657" s="62">
        <f>1.05*0.05*D653</f>
        <v>0.55072500000000002</v>
      </c>
      <c r="E657" s="63"/>
      <c r="F657" s="65"/>
      <c r="G657" s="64">
        <v>1494</v>
      </c>
      <c r="H657" s="64">
        <f t="shared" si="81"/>
        <v>822.78314999999998</v>
      </c>
      <c r="I657" s="70"/>
    </row>
    <row r="658" spans="1:10" s="60" customFormat="1" ht="30" outlineLevel="1" x14ac:dyDescent="0.25">
      <c r="A658" s="59"/>
      <c r="B658" s="61" t="s">
        <v>359</v>
      </c>
      <c r="C658" s="27" t="s">
        <v>163</v>
      </c>
      <c r="D658" s="160">
        <f>8*D653</f>
        <v>83.92</v>
      </c>
      <c r="E658" s="63"/>
      <c r="F658" s="65"/>
      <c r="G658" s="64">
        <f>160.49/50</f>
        <v>3.2098</v>
      </c>
      <c r="H658" s="64">
        <f t="shared" si="81"/>
        <v>269.36641600000002</v>
      </c>
      <c r="I658" s="70"/>
    </row>
    <row r="659" spans="1:10" s="60" customFormat="1" ht="15" customHeight="1" outlineLevel="1" x14ac:dyDescent="0.25">
      <c r="A659" s="59"/>
      <c r="B659" s="61" t="s">
        <v>162</v>
      </c>
      <c r="C659" s="27" t="s">
        <v>47</v>
      </c>
      <c r="D659" s="62">
        <f>5*D654</f>
        <v>52.45</v>
      </c>
      <c r="E659" s="63"/>
      <c r="F659" s="65"/>
      <c r="G659" s="64">
        <f>G656</f>
        <v>4.46</v>
      </c>
      <c r="H659" s="64">
        <f t="shared" si="81"/>
        <v>233.92700000000002</v>
      </c>
      <c r="I659" s="70"/>
    </row>
    <row r="660" spans="1:10" s="60" customFormat="1" ht="15" customHeight="1" outlineLevel="1" x14ac:dyDescent="0.25">
      <c r="A660" s="59"/>
      <c r="B660" s="61" t="s">
        <v>164</v>
      </c>
      <c r="C660" s="27" t="s">
        <v>8</v>
      </c>
      <c r="D660" s="62">
        <f>1.1*D654</f>
        <v>11.539000000000001</v>
      </c>
      <c r="E660" s="63"/>
      <c r="F660" s="65"/>
      <c r="G660" s="64">
        <f>G362</f>
        <v>16.829999999999998</v>
      </c>
      <c r="H660" s="64">
        <f t="shared" si="81"/>
        <v>194.20137</v>
      </c>
      <c r="I660" s="70"/>
    </row>
    <row r="661" spans="1:10" x14ac:dyDescent="0.25">
      <c r="A661" s="99" t="s">
        <v>335</v>
      </c>
      <c r="B661" s="38" t="s">
        <v>224</v>
      </c>
      <c r="C661" s="37" t="s">
        <v>8</v>
      </c>
      <c r="D661" s="39">
        <f>D653</f>
        <v>10.49</v>
      </c>
      <c r="E661" s="39">
        <v>55</v>
      </c>
      <c r="F661" s="39">
        <f>D661*E661</f>
        <v>576.95000000000005</v>
      </c>
      <c r="G661" s="39">
        <f>H661/D661</f>
        <v>13.133232499999998</v>
      </c>
      <c r="H661" s="39">
        <f>SUM(H662:H664)</f>
        <v>137.76760892499999</v>
      </c>
      <c r="I661" s="100">
        <f>F661+H661</f>
        <v>714.71760892500004</v>
      </c>
    </row>
    <row r="662" spans="1:10" x14ac:dyDescent="0.25">
      <c r="A662" s="99"/>
      <c r="B662" s="26" t="s">
        <v>52</v>
      </c>
      <c r="C662" s="27" t="s">
        <v>47</v>
      </c>
      <c r="D662" s="16">
        <f>D661*0.15</f>
        <v>1.5734999999999999</v>
      </c>
      <c r="E662" s="10"/>
      <c r="F662" s="10"/>
      <c r="G662" s="16">
        <f>6.605*1.03</f>
        <v>6.8031500000000005</v>
      </c>
      <c r="H662" s="17">
        <f>D662*G662</f>
        <v>10.704756525000001</v>
      </c>
      <c r="I662" s="100"/>
    </row>
    <row r="663" spans="1:10" ht="14.25" customHeight="1" x14ac:dyDescent="0.25">
      <c r="A663" s="99"/>
      <c r="B663" s="14" t="s">
        <v>252</v>
      </c>
      <c r="C663" s="9" t="s">
        <v>47</v>
      </c>
      <c r="D663" s="16">
        <f>D661*1.8</f>
        <v>18.882000000000001</v>
      </c>
      <c r="E663" s="10"/>
      <c r="F663" s="10"/>
      <c r="G663" s="16">
        <f>81.95/30</f>
        <v>2.7316666666666669</v>
      </c>
      <c r="H663" s="17">
        <f t="shared" ref="H663:H664" si="82">D663*G663</f>
        <v>51.579330000000006</v>
      </c>
      <c r="I663" s="100"/>
      <c r="J663" s="1">
        <v>81.95</v>
      </c>
    </row>
    <row r="664" spans="1:10" ht="14.25" customHeight="1" x14ac:dyDescent="0.25">
      <c r="A664" s="99"/>
      <c r="B664" s="14" t="s">
        <v>141</v>
      </c>
      <c r="C664" s="9" t="s">
        <v>47</v>
      </c>
      <c r="D664" s="16">
        <f>D661*1.3</f>
        <v>13.637</v>
      </c>
      <c r="E664" s="10"/>
      <c r="F664" s="10"/>
      <c r="G664" s="16">
        <f>138.38/25</f>
        <v>5.5351999999999997</v>
      </c>
      <c r="H664" s="17">
        <f t="shared" si="82"/>
        <v>75.483522399999998</v>
      </c>
      <c r="I664" s="100"/>
      <c r="J664" s="1">
        <v>81.95</v>
      </c>
    </row>
    <row r="665" spans="1:10" x14ac:dyDescent="0.25">
      <c r="A665" s="99" t="s">
        <v>336</v>
      </c>
      <c r="B665" s="38" t="s">
        <v>203</v>
      </c>
      <c r="C665" s="37" t="s">
        <v>8</v>
      </c>
      <c r="D665" s="39">
        <f>D653</f>
        <v>10.49</v>
      </c>
      <c r="E665" s="39">
        <v>30</v>
      </c>
      <c r="F665" s="39">
        <f>D665*E665</f>
        <v>314.7</v>
      </c>
      <c r="G665" s="39">
        <f>H665/D665</f>
        <v>9.2704724999999986</v>
      </c>
      <c r="H665" s="39">
        <f>SUM(H666:H667)</f>
        <v>97.247256524999983</v>
      </c>
      <c r="I665" s="100">
        <f>F665+H665</f>
        <v>411.94725652499994</v>
      </c>
    </row>
    <row r="666" spans="1:10" x14ac:dyDescent="0.25">
      <c r="A666" s="99"/>
      <c r="B666" s="26" t="s">
        <v>52</v>
      </c>
      <c r="C666" s="27" t="s">
        <v>47</v>
      </c>
      <c r="D666" s="16">
        <f>D665*0.15</f>
        <v>1.5734999999999999</v>
      </c>
      <c r="E666" s="10"/>
      <c r="F666" s="10"/>
      <c r="G666" s="16">
        <f>6.605*1.03</f>
        <v>6.8031500000000005</v>
      </c>
      <c r="H666" s="17">
        <f>D666*G666</f>
        <v>10.704756525000001</v>
      </c>
      <c r="I666" s="100"/>
    </row>
    <row r="667" spans="1:10" ht="14.25" customHeight="1" x14ac:dyDescent="0.25">
      <c r="A667" s="99"/>
      <c r="B667" s="14" t="s">
        <v>145</v>
      </c>
      <c r="C667" s="9" t="s">
        <v>144</v>
      </c>
      <c r="D667" s="16">
        <f>D665*0.3</f>
        <v>3.1469999999999998</v>
      </c>
      <c r="E667" s="10"/>
      <c r="F667" s="10"/>
      <c r="G667" s="16">
        <v>27.5</v>
      </c>
      <c r="H667" s="17">
        <f>D667*G667</f>
        <v>86.54249999999999</v>
      </c>
      <c r="I667" s="100"/>
    </row>
    <row r="668" spans="1:10" s="5" customFormat="1" x14ac:dyDescent="0.25">
      <c r="A668" s="137" t="s">
        <v>337</v>
      </c>
      <c r="B668" s="11" t="s">
        <v>42</v>
      </c>
      <c r="C668" s="43"/>
      <c r="D668" s="12"/>
      <c r="E668" s="13"/>
      <c r="F668" s="13"/>
      <c r="G668" s="13"/>
      <c r="H668" s="13"/>
      <c r="I668" s="100"/>
    </row>
    <row r="669" spans="1:10" x14ac:dyDescent="0.25">
      <c r="A669" s="99" t="s">
        <v>338</v>
      </c>
      <c r="B669" s="42" t="s">
        <v>201</v>
      </c>
      <c r="C669" s="37" t="s">
        <v>8</v>
      </c>
      <c r="D669" s="39">
        <v>867.77</v>
      </c>
      <c r="E669" s="39">
        <v>65</v>
      </c>
      <c r="F669" s="39">
        <f>D669*E669</f>
        <v>56405.049999999996</v>
      </c>
      <c r="G669" s="39">
        <f>H669/D669</f>
        <v>78.435000000000002</v>
      </c>
      <c r="H669" s="39">
        <f>SUM(H674)</f>
        <v>68063.539950000006</v>
      </c>
      <c r="I669" s="100">
        <f>F669+H669</f>
        <v>124468.58994999999</v>
      </c>
    </row>
    <row r="670" spans="1:10" x14ac:dyDescent="0.25">
      <c r="A670" s="99" t="s">
        <v>338</v>
      </c>
      <c r="B670" s="42" t="s">
        <v>240</v>
      </c>
      <c r="C670" s="37" t="s">
        <v>8</v>
      </c>
      <c r="D670" s="39">
        <v>54.71</v>
      </c>
      <c r="E670" s="39">
        <v>65</v>
      </c>
      <c r="F670" s="39">
        <f>D670*E670</f>
        <v>3556.15</v>
      </c>
      <c r="G670" s="39">
        <f t="shared" ref="G670:G671" si="83">H670/D670</f>
        <v>156.87</v>
      </c>
      <c r="H670" s="39">
        <f>SUM(H675)</f>
        <v>8582.3577000000005</v>
      </c>
      <c r="I670" s="100">
        <f>F670+H670</f>
        <v>12138.5077</v>
      </c>
    </row>
    <row r="671" spans="1:10" x14ac:dyDescent="0.25">
      <c r="A671" s="99" t="s">
        <v>339</v>
      </c>
      <c r="B671" s="42" t="s">
        <v>166</v>
      </c>
      <c r="C671" s="37" t="s">
        <v>8</v>
      </c>
      <c r="D671" s="39">
        <f>D669+D670</f>
        <v>922.48</v>
      </c>
      <c r="E671" s="39">
        <v>70</v>
      </c>
      <c r="F671" s="39">
        <f>D671*E671</f>
        <v>64573.599999999999</v>
      </c>
      <c r="G671" s="39">
        <f t="shared" si="83"/>
        <v>89.811872500000007</v>
      </c>
      <c r="H671" s="39">
        <f>SUM(H676:H678,H672:H673)</f>
        <v>82849.656143800006</v>
      </c>
      <c r="I671" s="100">
        <f>F671+H671</f>
        <v>147423.25614380001</v>
      </c>
    </row>
    <row r="672" spans="1:10" s="60" customFormat="1" ht="15" customHeight="1" outlineLevel="1" x14ac:dyDescent="0.25">
      <c r="A672" s="59"/>
      <c r="B672" s="61" t="s">
        <v>161</v>
      </c>
      <c r="C672" s="27" t="s">
        <v>47</v>
      </c>
      <c r="D672" s="62">
        <f>0.15*D671</f>
        <v>138.37199999999999</v>
      </c>
      <c r="E672" s="63"/>
      <c r="F672" s="65"/>
      <c r="G672" s="16">
        <f>6.605*1.03</f>
        <v>6.8031500000000005</v>
      </c>
      <c r="H672" s="64">
        <f>D672*G672</f>
        <v>941.36547180000002</v>
      </c>
      <c r="I672" s="70"/>
    </row>
    <row r="673" spans="1:10" s="60" customFormat="1" ht="15" customHeight="1" outlineLevel="1" x14ac:dyDescent="0.25">
      <c r="A673" s="59"/>
      <c r="B673" s="61" t="s">
        <v>162</v>
      </c>
      <c r="C673" s="27" t="s">
        <v>47</v>
      </c>
      <c r="D673" s="62">
        <f>5*D671</f>
        <v>4612.3999999999996</v>
      </c>
      <c r="E673" s="63"/>
      <c r="F673" s="65"/>
      <c r="G673" s="64">
        <f>G358</f>
        <v>4.46</v>
      </c>
      <c r="H673" s="64">
        <f t="shared" ref="H673:H678" si="84">D673*G673</f>
        <v>20571.303999999996</v>
      </c>
      <c r="I673" s="70"/>
    </row>
    <row r="674" spans="1:10" s="60" customFormat="1" ht="15" customHeight="1" outlineLevel="1" x14ac:dyDescent="0.25">
      <c r="A674" s="59"/>
      <c r="B674" s="61" t="s">
        <v>394</v>
      </c>
      <c r="C674" s="27" t="s">
        <v>111</v>
      </c>
      <c r="D674" s="62">
        <f>1.05*0.05*D669</f>
        <v>45.557925000000004</v>
      </c>
      <c r="E674" s="63"/>
      <c r="F674" s="65"/>
      <c r="G674" s="64">
        <v>1494</v>
      </c>
      <c r="H674" s="64">
        <f t="shared" si="84"/>
        <v>68063.539950000006</v>
      </c>
      <c r="I674" s="70"/>
    </row>
    <row r="675" spans="1:10" s="60" customFormat="1" ht="15" customHeight="1" outlineLevel="1" x14ac:dyDescent="0.25">
      <c r="A675" s="59"/>
      <c r="B675" s="61" t="s">
        <v>395</v>
      </c>
      <c r="C675" s="27" t="s">
        <v>111</v>
      </c>
      <c r="D675" s="62">
        <f>D670*0.1*1.05</f>
        <v>5.7445500000000003</v>
      </c>
      <c r="E675" s="63"/>
      <c r="F675" s="65"/>
      <c r="G675" s="64">
        <v>1494</v>
      </c>
      <c r="H675" s="64">
        <f t="shared" ref="H675" si="85">D675*G675</f>
        <v>8582.3577000000005</v>
      </c>
      <c r="I675" s="70"/>
    </row>
    <row r="676" spans="1:10" s="60" customFormat="1" ht="30" outlineLevel="1" x14ac:dyDescent="0.25">
      <c r="A676" s="59"/>
      <c r="B676" s="61" t="s">
        <v>167</v>
      </c>
      <c r="C676" s="27" t="s">
        <v>163</v>
      </c>
      <c r="D676" s="62">
        <f>8*D671</f>
        <v>7379.84</v>
      </c>
      <c r="E676" s="63"/>
      <c r="F676" s="65"/>
      <c r="G676" s="64">
        <f>160.49/50</f>
        <v>3.2098</v>
      </c>
      <c r="H676" s="64">
        <f t="shared" si="84"/>
        <v>23687.810432000002</v>
      </c>
      <c r="I676" s="70"/>
    </row>
    <row r="677" spans="1:10" s="60" customFormat="1" ht="15" customHeight="1" outlineLevel="1" x14ac:dyDescent="0.25">
      <c r="A677" s="59"/>
      <c r="B677" s="61" t="s">
        <v>162</v>
      </c>
      <c r="C677" s="27" t="s">
        <v>47</v>
      </c>
      <c r="D677" s="62">
        <f>5*D671</f>
        <v>4612.3999999999996</v>
      </c>
      <c r="E677" s="63"/>
      <c r="F677" s="65"/>
      <c r="G677" s="64">
        <f>G673</f>
        <v>4.46</v>
      </c>
      <c r="H677" s="64">
        <f t="shared" si="84"/>
        <v>20571.303999999996</v>
      </c>
      <c r="I677" s="70"/>
    </row>
    <row r="678" spans="1:10" s="60" customFormat="1" ht="15" customHeight="1" outlineLevel="1" x14ac:dyDescent="0.25">
      <c r="A678" s="59"/>
      <c r="B678" s="61" t="s">
        <v>164</v>
      </c>
      <c r="C678" s="27" t="s">
        <v>8</v>
      </c>
      <c r="D678" s="62">
        <f>1.1*D671</f>
        <v>1014.7280000000001</v>
      </c>
      <c r="E678" s="63"/>
      <c r="F678" s="65"/>
      <c r="G678" s="64">
        <f>G362</f>
        <v>16.829999999999998</v>
      </c>
      <c r="H678" s="64">
        <f t="shared" si="84"/>
        <v>17077.872240000001</v>
      </c>
      <c r="I678" s="70"/>
    </row>
    <row r="679" spans="1:10" x14ac:dyDescent="0.25">
      <c r="A679" s="99" t="s">
        <v>340</v>
      </c>
      <c r="B679" s="38" t="s">
        <v>224</v>
      </c>
      <c r="C679" s="37" t="s">
        <v>8</v>
      </c>
      <c r="D679" s="39">
        <f>D671</f>
        <v>922.48</v>
      </c>
      <c r="E679" s="39">
        <v>55</v>
      </c>
      <c r="F679" s="39">
        <f>D679*E679</f>
        <v>50736.4</v>
      </c>
      <c r="G679" s="39">
        <f>H679/D679</f>
        <v>13.133232500000002</v>
      </c>
      <c r="H679" s="39">
        <f>SUM(H680:H682)</f>
        <v>12115.144316600003</v>
      </c>
      <c r="I679" s="100">
        <f>F679+H679</f>
        <v>62851.544316600004</v>
      </c>
    </row>
    <row r="680" spans="1:10" x14ac:dyDescent="0.25">
      <c r="A680" s="99"/>
      <c r="B680" s="26" t="s">
        <v>52</v>
      </c>
      <c r="C680" s="27" t="s">
        <v>47</v>
      </c>
      <c r="D680" s="16">
        <f>D679*0.15</f>
        <v>138.37199999999999</v>
      </c>
      <c r="E680" s="10"/>
      <c r="F680" s="10"/>
      <c r="G680" s="16">
        <f>6.605*1.03</f>
        <v>6.8031500000000005</v>
      </c>
      <c r="H680" s="17">
        <f>D680*G680</f>
        <v>941.36547180000002</v>
      </c>
      <c r="I680" s="100"/>
    </row>
    <row r="681" spans="1:10" ht="14.25" customHeight="1" x14ac:dyDescent="0.25">
      <c r="A681" s="99"/>
      <c r="B681" s="14" t="s">
        <v>252</v>
      </c>
      <c r="C681" s="9" t="s">
        <v>47</v>
      </c>
      <c r="D681" s="16">
        <f>D679*1.8</f>
        <v>1660.4640000000002</v>
      </c>
      <c r="E681" s="10"/>
      <c r="F681" s="10"/>
      <c r="G681" s="16">
        <f>81.95/30</f>
        <v>2.7316666666666669</v>
      </c>
      <c r="H681" s="17">
        <f t="shared" ref="H681:H682" si="86">D681*G681</f>
        <v>4535.8341600000012</v>
      </c>
      <c r="I681" s="100"/>
      <c r="J681" s="1">
        <v>81.95</v>
      </c>
    </row>
    <row r="682" spans="1:10" ht="14.25" customHeight="1" x14ac:dyDescent="0.25">
      <c r="A682" s="99"/>
      <c r="B682" s="14" t="s">
        <v>141</v>
      </c>
      <c r="C682" s="9" t="s">
        <v>47</v>
      </c>
      <c r="D682" s="16">
        <f>D679*1.3</f>
        <v>1199.2240000000002</v>
      </c>
      <c r="E682" s="10"/>
      <c r="F682" s="10"/>
      <c r="G682" s="16">
        <f>138.38/25</f>
        <v>5.5351999999999997</v>
      </c>
      <c r="H682" s="17">
        <f t="shared" si="86"/>
        <v>6637.9446848000007</v>
      </c>
      <c r="I682" s="100"/>
      <c r="J682" s="1">
        <v>81.95</v>
      </c>
    </row>
    <row r="683" spans="1:10" x14ac:dyDescent="0.25">
      <c r="A683" s="99" t="s">
        <v>341</v>
      </c>
      <c r="B683" s="38" t="s">
        <v>203</v>
      </c>
      <c r="C683" s="37" t="s">
        <v>8</v>
      </c>
      <c r="D683" s="39">
        <f>D671</f>
        <v>922.48</v>
      </c>
      <c r="E683" s="39">
        <v>30</v>
      </c>
      <c r="F683" s="39">
        <f>D683*E683</f>
        <v>27674.400000000001</v>
      </c>
      <c r="G683" s="39">
        <f>H683/D683</f>
        <v>9.2704724999999986</v>
      </c>
      <c r="H683" s="39">
        <f>SUM(H684:H685)</f>
        <v>8551.8254717999989</v>
      </c>
      <c r="I683" s="100">
        <f>F683+H683</f>
        <v>36226.225471800004</v>
      </c>
    </row>
    <row r="684" spans="1:10" x14ac:dyDescent="0.25">
      <c r="A684" s="99"/>
      <c r="B684" s="26" t="s">
        <v>52</v>
      </c>
      <c r="C684" s="27" t="s">
        <v>47</v>
      </c>
      <c r="D684" s="16">
        <f>D683*0.15</f>
        <v>138.37199999999999</v>
      </c>
      <c r="E684" s="10"/>
      <c r="F684" s="10"/>
      <c r="G684" s="16">
        <f>6.605*1.03</f>
        <v>6.8031500000000005</v>
      </c>
      <c r="H684" s="17">
        <f>D684*G684</f>
        <v>941.36547180000002</v>
      </c>
      <c r="I684" s="100"/>
    </row>
    <row r="685" spans="1:10" ht="14.25" customHeight="1" x14ac:dyDescent="0.25">
      <c r="A685" s="118"/>
      <c r="B685" s="88" t="s">
        <v>145</v>
      </c>
      <c r="C685" s="20" t="s">
        <v>144</v>
      </c>
      <c r="D685" s="67">
        <f>D683*0.3</f>
        <v>276.74399999999997</v>
      </c>
      <c r="E685" s="21"/>
      <c r="F685" s="21"/>
      <c r="G685" s="16">
        <v>27.5</v>
      </c>
      <c r="H685" s="17">
        <f>D685*G685</f>
        <v>7610.4599999999991</v>
      </c>
      <c r="I685" s="119"/>
    </row>
    <row r="686" spans="1:10" x14ac:dyDescent="0.25">
      <c r="A686" s="137" t="s">
        <v>342</v>
      </c>
      <c r="B686" s="140" t="s">
        <v>345</v>
      </c>
      <c r="C686" s="136"/>
      <c r="D686" s="12"/>
      <c r="E686" s="13"/>
      <c r="F686" s="13"/>
      <c r="G686" s="13"/>
      <c r="H686" s="13"/>
      <c r="I686" s="117"/>
    </row>
    <row r="687" spans="1:10" ht="14.25" customHeight="1" x14ac:dyDescent="0.25">
      <c r="A687" s="99" t="s">
        <v>343</v>
      </c>
      <c r="B687" s="38" t="s">
        <v>202</v>
      </c>
      <c r="C687" s="37" t="s">
        <v>8</v>
      </c>
      <c r="D687" s="39">
        <v>54.68</v>
      </c>
      <c r="E687" s="39">
        <v>55</v>
      </c>
      <c r="F687" s="39">
        <f>D687*E687</f>
        <v>3007.4</v>
      </c>
      <c r="G687" s="39">
        <f>H687/D687</f>
        <v>13.1332325</v>
      </c>
      <c r="H687" s="39">
        <f>SUM(H688:H690)</f>
        <v>718.12515310000003</v>
      </c>
      <c r="I687" s="100">
        <f>F687+H687</f>
        <v>3725.5251531000004</v>
      </c>
    </row>
    <row r="688" spans="1:10" ht="14.25" customHeight="1" x14ac:dyDescent="0.25">
      <c r="A688" s="99"/>
      <c r="B688" s="26" t="s">
        <v>52</v>
      </c>
      <c r="C688" s="27" t="s">
        <v>47</v>
      </c>
      <c r="D688" s="16">
        <f>D687*0.15</f>
        <v>8.202</v>
      </c>
      <c r="E688" s="10"/>
      <c r="F688" s="10"/>
      <c r="G688" s="16">
        <f>6.605*1.03</f>
        <v>6.8031500000000005</v>
      </c>
      <c r="H688" s="17">
        <f>D688*G688</f>
        <v>55.799436300000004</v>
      </c>
      <c r="I688" s="100"/>
    </row>
    <row r="689" spans="1:9" ht="14.25" customHeight="1" x14ac:dyDescent="0.25">
      <c r="A689" s="99"/>
      <c r="B689" s="14" t="s">
        <v>252</v>
      </c>
      <c r="C689" s="9" t="s">
        <v>47</v>
      </c>
      <c r="D689" s="16">
        <f>D687*1.8</f>
        <v>98.424000000000007</v>
      </c>
      <c r="E689" s="10"/>
      <c r="F689" s="10"/>
      <c r="G689" s="16">
        <f>81.95/30</f>
        <v>2.7316666666666669</v>
      </c>
      <c r="H689" s="17">
        <f t="shared" ref="H689:H690" si="87">D689*G689</f>
        <v>268.86156000000005</v>
      </c>
      <c r="I689" s="115"/>
    </row>
    <row r="690" spans="1:9" ht="14.25" customHeight="1" x14ac:dyDescent="0.25">
      <c r="A690" s="99"/>
      <c r="B690" s="14" t="s">
        <v>141</v>
      </c>
      <c r="C690" s="9" t="s">
        <v>47</v>
      </c>
      <c r="D690" s="16">
        <f>D687*1.3</f>
        <v>71.084000000000003</v>
      </c>
      <c r="E690" s="10"/>
      <c r="F690" s="10"/>
      <c r="G690" s="16">
        <f>138.38/25</f>
        <v>5.5351999999999997</v>
      </c>
      <c r="H690" s="17">
        <f t="shared" si="87"/>
        <v>393.46415680000001</v>
      </c>
      <c r="I690" s="100"/>
    </row>
    <row r="691" spans="1:9" ht="14.25" customHeight="1" x14ac:dyDescent="0.25">
      <c r="A691" s="99" t="s">
        <v>344</v>
      </c>
      <c r="B691" s="38" t="s">
        <v>203</v>
      </c>
      <c r="C691" s="37" t="s">
        <v>8</v>
      </c>
      <c r="D691" s="39">
        <v>54.68</v>
      </c>
      <c r="E691" s="39">
        <v>30</v>
      </c>
      <c r="F691" s="39">
        <f>D691*E691</f>
        <v>1640.4</v>
      </c>
      <c r="G691" s="39">
        <f>H691/D691</f>
        <v>9.2704725000000003</v>
      </c>
      <c r="H691" s="39">
        <f>SUM(H692:H693)</f>
        <v>506.90943630000004</v>
      </c>
      <c r="I691" s="100">
        <f>F691+H691</f>
        <v>2147.3094363</v>
      </c>
    </row>
    <row r="692" spans="1:9" ht="14.25" customHeight="1" x14ac:dyDescent="0.25">
      <c r="A692" s="99"/>
      <c r="B692" s="26" t="s">
        <v>52</v>
      </c>
      <c r="C692" s="27" t="s">
        <v>47</v>
      </c>
      <c r="D692" s="16">
        <f>D691*0.15</f>
        <v>8.202</v>
      </c>
      <c r="E692" s="10"/>
      <c r="F692" s="10"/>
      <c r="G692" s="16">
        <f>6.605*1.03</f>
        <v>6.8031500000000005</v>
      </c>
      <c r="H692" s="17">
        <f>D692*G692</f>
        <v>55.799436300000004</v>
      </c>
      <c r="I692" s="100"/>
    </row>
    <row r="693" spans="1:9" ht="14.25" customHeight="1" x14ac:dyDescent="0.25">
      <c r="A693" s="99"/>
      <c r="B693" s="14" t="s">
        <v>346</v>
      </c>
      <c r="C693" s="9" t="s">
        <v>144</v>
      </c>
      <c r="D693" s="16">
        <f>D691*0.3</f>
        <v>16.404</v>
      </c>
      <c r="E693" s="10"/>
      <c r="F693" s="10"/>
      <c r="G693" s="16">
        <v>27.5</v>
      </c>
      <c r="H693" s="17">
        <f>D693*G693</f>
        <v>451.11</v>
      </c>
      <c r="I693" s="100"/>
    </row>
    <row r="694" spans="1:9" x14ac:dyDescent="0.25">
      <c r="A694" s="137" t="s">
        <v>342</v>
      </c>
      <c r="B694" s="140" t="s">
        <v>347</v>
      </c>
      <c r="C694" s="136"/>
      <c r="D694" s="12"/>
      <c r="E694" s="13"/>
      <c r="F694" s="13"/>
      <c r="G694" s="13"/>
      <c r="H694" s="13"/>
      <c r="I694" s="117"/>
    </row>
    <row r="695" spans="1:9" ht="14.25" customHeight="1" x14ac:dyDescent="0.25">
      <c r="A695" s="99" t="s">
        <v>343</v>
      </c>
      <c r="B695" s="38" t="s">
        <v>202</v>
      </c>
      <c r="C695" s="37" t="s">
        <v>8</v>
      </c>
      <c r="D695" s="39">
        <v>13.68</v>
      </c>
      <c r="E695" s="39">
        <v>55</v>
      </c>
      <c r="F695" s="39">
        <f>D695*E695</f>
        <v>752.4</v>
      </c>
      <c r="G695" s="39">
        <f>H695/D695</f>
        <v>13.1332325</v>
      </c>
      <c r="H695" s="39">
        <f>SUM(H696:H698)</f>
        <v>179.6626206</v>
      </c>
      <c r="I695" s="100">
        <f>F695+H695</f>
        <v>932.06262059999995</v>
      </c>
    </row>
    <row r="696" spans="1:9" ht="14.25" customHeight="1" x14ac:dyDescent="0.25">
      <c r="A696" s="99"/>
      <c r="B696" s="26" t="s">
        <v>52</v>
      </c>
      <c r="C696" s="27" t="s">
        <v>47</v>
      </c>
      <c r="D696" s="16">
        <f>D695*0.15</f>
        <v>2.052</v>
      </c>
      <c r="E696" s="10"/>
      <c r="F696" s="10"/>
      <c r="G696" s="16">
        <f>6.605*1.03</f>
        <v>6.8031500000000005</v>
      </c>
      <c r="H696" s="17">
        <f>D696*G696</f>
        <v>13.960063800000002</v>
      </c>
      <c r="I696" s="100"/>
    </row>
    <row r="697" spans="1:9" ht="14.25" customHeight="1" x14ac:dyDescent="0.25">
      <c r="A697" s="99"/>
      <c r="B697" s="14" t="s">
        <v>252</v>
      </c>
      <c r="C697" s="9" t="s">
        <v>47</v>
      </c>
      <c r="D697" s="16">
        <f>D695*1.8</f>
        <v>24.623999999999999</v>
      </c>
      <c r="E697" s="10"/>
      <c r="F697" s="10"/>
      <c r="G697" s="16">
        <f>81.95/30</f>
        <v>2.7316666666666669</v>
      </c>
      <c r="H697" s="17">
        <f t="shared" ref="H697:H698" si="88">D697*G697</f>
        <v>67.264560000000003</v>
      </c>
      <c r="I697" s="115"/>
    </row>
    <row r="698" spans="1:9" ht="14.25" customHeight="1" x14ac:dyDescent="0.25">
      <c r="A698" s="99"/>
      <c r="B698" s="14" t="s">
        <v>141</v>
      </c>
      <c r="C698" s="9" t="s">
        <v>47</v>
      </c>
      <c r="D698" s="16">
        <f>D695*1.3</f>
        <v>17.783999999999999</v>
      </c>
      <c r="E698" s="10"/>
      <c r="F698" s="10"/>
      <c r="G698" s="16">
        <f>138.38/25</f>
        <v>5.5351999999999997</v>
      </c>
      <c r="H698" s="17">
        <f t="shared" si="88"/>
        <v>98.437996799999993</v>
      </c>
      <c r="I698" s="100"/>
    </row>
    <row r="699" spans="1:9" ht="14.25" customHeight="1" x14ac:dyDescent="0.25">
      <c r="A699" s="99" t="s">
        <v>344</v>
      </c>
      <c r="B699" s="38" t="s">
        <v>348</v>
      </c>
      <c r="C699" s="37" t="s">
        <v>8</v>
      </c>
      <c r="D699" s="39">
        <v>13.68</v>
      </c>
      <c r="E699" s="39">
        <v>40</v>
      </c>
      <c r="F699" s="39">
        <f>D699*E699</f>
        <v>547.20000000000005</v>
      </c>
      <c r="G699" s="39">
        <f>H699/D699</f>
        <v>11.9704725</v>
      </c>
      <c r="H699" s="39">
        <f>SUM(H700:H701)</f>
        <v>163.75606379999999</v>
      </c>
      <c r="I699" s="100">
        <f>F699+H699</f>
        <v>710.95606380000004</v>
      </c>
    </row>
    <row r="700" spans="1:9" ht="14.25" customHeight="1" x14ac:dyDescent="0.25">
      <c r="A700" s="99"/>
      <c r="B700" s="26" t="s">
        <v>52</v>
      </c>
      <c r="C700" s="27" t="s">
        <v>47</v>
      </c>
      <c r="D700" s="16">
        <f>D699*0.15</f>
        <v>2.052</v>
      </c>
      <c r="E700" s="10"/>
      <c r="F700" s="10"/>
      <c r="G700" s="16">
        <f>6.605*1.03</f>
        <v>6.8031500000000005</v>
      </c>
      <c r="H700" s="17">
        <f>D700*G700</f>
        <v>13.960063800000002</v>
      </c>
      <c r="I700" s="115"/>
    </row>
    <row r="701" spans="1:9" ht="15.75" thickBot="1" x14ac:dyDescent="0.3">
      <c r="A701" s="99"/>
      <c r="B701" s="14" t="s">
        <v>180</v>
      </c>
      <c r="C701" s="9" t="s">
        <v>144</v>
      </c>
      <c r="D701" s="16">
        <f>D699*0.3</f>
        <v>4.1040000000000001</v>
      </c>
      <c r="E701" s="10"/>
      <c r="F701" s="10"/>
      <c r="G701" s="16">
        <v>36.5</v>
      </c>
      <c r="H701" s="17">
        <f>D701*G701</f>
        <v>149.79599999999999</v>
      </c>
      <c r="I701" s="115"/>
    </row>
    <row r="702" spans="1:9" s="60" customFormat="1" ht="15.75" customHeight="1" x14ac:dyDescent="0.25">
      <c r="A702" s="89"/>
      <c r="B702" s="184" t="s">
        <v>254</v>
      </c>
      <c r="C702" s="185"/>
      <c r="D702" s="185"/>
      <c r="E702" s="185"/>
      <c r="F702" s="127">
        <f>SUM(F11:F701)</f>
        <v>7302108.6600000011</v>
      </c>
      <c r="G702" s="127"/>
      <c r="H702" s="127">
        <f>H683+H679+H671+H669+H665+H661+H654+H653+H649+H645+H638+H637+H633+H629+H621+H620+H616+H612+H605+H604+H601+H598+H594+H590+H587+H583+H572+H568+H563+H560+H556+H553+H549+H509+H508+H458+H455+H450+H446+H442+H436+H432+H429+H425+H419+H415+H412+H408+H402+H398+H395+H391+H385+H379+H373+H367+H363+H356+H355+H348+H330+H327+H323+H317+H311+H308+H304+H298+H291+H201+H198+H193+H191+H185+H180+H175+H173+H170+H164+H159+H155+H152+H140+H135+H131+H128+H120+H115+H94+H88+H83+H80+H76+H70+H65+H62+H59+H53+H45+H39+H35+H32+H26+H22+H18+H15+H11+H462+H468+H472+H476+H482+H486+H489+H493+H499+H503+H286+H283+H277+H272+H269+H263+H258+H255+H249+H240+H244+H238+H236+H233+H227+H222+H219+H214+H212+H210+H207+H687+H691+H695+H699+H545+H541+H537+H533+H529+H525+H518+H517+H342+H336+H126+H112+H110+H108+H106+H102+H98+H48+H150+H670</f>
        <v>7098281.9086449379</v>
      </c>
      <c r="I702" s="90">
        <f>I10+I289+I506</f>
        <v>14400390.568644939</v>
      </c>
    </row>
    <row r="703" spans="1:9" s="60" customFormat="1" ht="15.75" customHeight="1" x14ac:dyDescent="0.25">
      <c r="A703" s="59"/>
      <c r="B703" s="200" t="s">
        <v>255</v>
      </c>
      <c r="C703" s="200"/>
      <c r="D703" s="200"/>
      <c r="E703" s="200"/>
      <c r="F703" s="200"/>
      <c r="G703" s="200"/>
      <c r="H703" s="200"/>
      <c r="I703" s="122">
        <f>I702*0.025</f>
        <v>360009.7642161235</v>
      </c>
    </row>
    <row r="704" spans="1:9" s="60" customFormat="1" ht="15.75" customHeight="1" x14ac:dyDescent="0.25">
      <c r="A704" s="59"/>
      <c r="B704" s="201" t="s">
        <v>253</v>
      </c>
      <c r="C704" s="201"/>
      <c r="D704" s="201"/>
      <c r="E704" s="201"/>
      <c r="F704" s="201"/>
      <c r="G704" s="201"/>
      <c r="H704" s="201"/>
      <c r="I704" s="91">
        <f>I702+I703</f>
        <v>14760400.332861062</v>
      </c>
    </row>
    <row r="705" spans="1:9" s="60" customFormat="1" ht="15.75" customHeight="1" thickBot="1" x14ac:dyDescent="0.3">
      <c r="A705" s="92"/>
      <c r="B705" s="202" t="s">
        <v>256</v>
      </c>
      <c r="C705" s="202"/>
      <c r="D705" s="202"/>
      <c r="E705" s="202"/>
      <c r="F705" s="202"/>
      <c r="G705" s="202"/>
      <c r="H705" s="202"/>
      <c r="I705" s="123">
        <f>I704/6</f>
        <v>2460066.7221435104</v>
      </c>
    </row>
    <row r="706" spans="1:9" s="60" customFormat="1" ht="15.75" customHeight="1" x14ac:dyDescent="0.25">
      <c r="A706" s="124"/>
      <c r="B706" s="125"/>
      <c r="C706" s="125"/>
      <c r="D706" s="125"/>
      <c r="E706" s="125"/>
      <c r="F706" s="125"/>
      <c r="G706" s="125"/>
      <c r="H706" s="125"/>
      <c r="I706" s="126"/>
    </row>
    <row r="707" spans="1:9" s="60" customFormat="1" ht="15.75" customHeight="1" x14ac:dyDescent="0.25">
      <c r="A707" s="124"/>
      <c r="B707" s="125"/>
      <c r="C707" s="125"/>
      <c r="D707" s="125"/>
      <c r="E707" s="125"/>
      <c r="F707" s="125"/>
      <c r="G707" s="125"/>
      <c r="H707" s="125"/>
      <c r="I707" s="126"/>
    </row>
    <row r="708" spans="1:9" s="129" customFormat="1" ht="18.75" customHeight="1" x14ac:dyDescent="0.25">
      <c r="A708" s="128"/>
      <c r="B708" s="203" t="s">
        <v>261</v>
      </c>
      <c r="D708" s="130"/>
      <c r="E708" s="205" t="s">
        <v>260</v>
      </c>
      <c r="F708" s="206"/>
      <c r="G708" s="206"/>
      <c r="H708" s="206"/>
      <c r="I708" s="131"/>
    </row>
    <row r="709" spans="1:9" s="129" customFormat="1" ht="18.75" customHeight="1" x14ac:dyDescent="0.25">
      <c r="A709" s="128"/>
      <c r="B709" s="204"/>
      <c r="D709" s="130"/>
      <c r="E709" s="206"/>
      <c r="F709" s="206"/>
      <c r="G709" s="206"/>
      <c r="H709" s="206"/>
      <c r="I709" s="131"/>
    </row>
    <row r="710" spans="1:9" s="129" customFormat="1" ht="15" customHeight="1" x14ac:dyDescent="0.25">
      <c r="A710" s="128"/>
      <c r="B710" s="204"/>
      <c r="D710" s="130"/>
      <c r="E710" s="206"/>
      <c r="F710" s="206"/>
      <c r="G710" s="206"/>
      <c r="H710" s="206"/>
      <c r="I710" s="131"/>
    </row>
    <row r="711" spans="1:9" s="129" customFormat="1" ht="15.75" x14ac:dyDescent="0.25">
      <c r="A711" s="128"/>
      <c r="B711" s="204"/>
      <c r="D711" s="130"/>
      <c r="E711" s="206"/>
      <c r="F711" s="206"/>
      <c r="G711" s="206"/>
      <c r="H711" s="206"/>
      <c r="I711" s="131"/>
    </row>
    <row r="712" spans="1:9" s="129" customFormat="1" ht="15.75" x14ac:dyDescent="0.25">
      <c r="A712" s="128"/>
      <c r="B712" s="204"/>
      <c r="D712" s="130"/>
      <c r="E712" s="206"/>
      <c r="F712" s="206"/>
      <c r="G712" s="206"/>
      <c r="H712" s="206"/>
      <c r="I712" s="131"/>
    </row>
    <row r="713" spans="1:9" s="133" customFormat="1" ht="15.75" x14ac:dyDescent="0.25">
      <c r="A713" s="132"/>
      <c r="B713" s="204"/>
      <c r="D713" s="134"/>
      <c r="E713" s="206"/>
      <c r="F713" s="206"/>
      <c r="G713" s="206"/>
      <c r="H713" s="206"/>
      <c r="I713" s="135"/>
    </row>
    <row r="714" spans="1:9" x14ac:dyDescent="0.25">
      <c r="A714" s="2"/>
      <c r="B714" s="2"/>
      <c r="C714" s="2"/>
      <c r="D714" s="3"/>
      <c r="E714" s="4"/>
      <c r="F714" s="4"/>
      <c r="G714" s="4"/>
      <c r="H714" s="4"/>
      <c r="I714" s="4"/>
    </row>
    <row r="715" spans="1:9" x14ac:dyDescent="0.25">
      <c r="A715" s="2"/>
      <c r="B715" s="2"/>
      <c r="C715" s="2"/>
      <c r="D715" s="3"/>
      <c r="E715" s="4"/>
      <c r="F715" s="4"/>
      <c r="G715" s="4"/>
      <c r="H715" s="4"/>
      <c r="I715" s="4"/>
    </row>
    <row r="716" spans="1:9" x14ac:dyDescent="0.25">
      <c r="A716" s="2"/>
      <c r="B716" s="2"/>
      <c r="C716" s="2"/>
      <c r="D716" s="3"/>
      <c r="E716" s="4"/>
      <c r="F716" s="4"/>
      <c r="G716" s="4"/>
      <c r="H716" s="4"/>
      <c r="I716" s="4"/>
    </row>
    <row r="717" spans="1:9" x14ac:dyDescent="0.25">
      <c r="A717" s="2"/>
      <c r="B717" s="2"/>
      <c r="C717" s="2"/>
      <c r="D717" s="3"/>
      <c r="E717" s="4"/>
      <c r="F717" s="4"/>
      <c r="G717" s="4"/>
      <c r="H717" s="4"/>
      <c r="I717" s="4"/>
    </row>
    <row r="718" spans="1:9" x14ac:dyDescent="0.25">
      <c r="A718" s="2"/>
      <c r="B718" s="2"/>
      <c r="C718" s="2"/>
      <c r="D718" s="3"/>
      <c r="E718" s="4"/>
      <c r="F718" s="4"/>
      <c r="G718" s="4"/>
      <c r="H718" s="4"/>
      <c r="I718" s="4"/>
    </row>
    <row r="719" spans="1:9" x14ac:dyDescent="0.25">
      <c r="A719" s="2"/>
      <c r="B719" s="2"/>
      <c r="C719" s="2"/>
      <c r="D719" s="3"/>
      <c r="E719" s="4"/>
      <c r="F719" s="4"/>
      <c r="G719" s="4"/>
      <c r="H719" s="4"/>
      <c r="I719" s="4"/>
    </row>
    <row r="720" spans="1:9" x14ac:dyDescent="0.25">
      <c r="A720" s="2"/>
      <c r="B720" s="2"/>
      <c r="C720" s="2"/>
      <c r="D720" s="3"/>
      <c r="E720" s="4"/>
      <c r="F720" s="4"/>
      <c r="G720" s="4"/>
      <c r="H720" s="4"/>
      <c r="I720" s="4"/>
    </row>
    <row r="721" spans="1:9" x14ac:dyDescent="0.25">
      <c r="A721" s="2"/>
      <c r="B721" s="2"/>
      <c r="C721" s="2"/>
      <c r="D721" s="3"/>
      <c r="E721" s="4"/>
      <c r="F721" s="4"/>
      <c r="G721" s="4"/>
      <c r="H721" s="4"/>
      <c r="I721" s="4"/>
    </row>
    <row r="722" spans="1:9" x14ac:dyDescent="0.25">
      <c r="A722" s="2"/>
      <c r="B722" s="2"/>
      <c r="C722" s="2"/>
      <c r="D722" s="3"/>
      <c r="E722" s="4"/>
      <c r="F722" s="4"/>
      <c r="G722" s="4"/>
      <c r="H722" s="4"/>
      <c r="I722" s="4"/>
    </row>
    <row r="723" spans="1:9" x14ac:dyDescent="0.25">
      <c r="A723" s="2"/>
      <c r="B723" s="2"/>
      <c r="C723" s="2"/>
      <c r="D723" s="3"/>
      <c r="E723" s="4"/>
      <c r="F723" s="4"/>
      <c r="G723" s="4"/>
      <c r="H723" s="4"/>
      <c r="I723" s="4"/>
    </row>
    <row r="724" spans="1:9" x14ac:dyDescent="0.25">
      <c r="A724" s="2"/>
      <c r="B724" s="2"/>
      <c r="C724" s="2"/>
      <c r="D724" s="3"/>
      <c r="E724" s="4"/>
      <c r="F724" s="4"/>
      <c r="G724" s="4"/>
      <c r="H724" s="4"/>
      <c r="I724" s="4"/>
    </row>
    <row r="725" spans="1:9" x14ac:dyDescent="0.25">
      <c r="A725" s="2"/>
      <c r="B725" s="2"/>
      <c r="C725" s="2"/>
      <c r="D725" s="3"/>
      <c r="E725" s="4"/>
      <c r="F725" s="4"/>
      <c r="G725" s="4"/>
      <c r="H725" s="4"/>
      <c r="I725" s="4"/>
    </row>
    <row r="726" spans="1:9" x14ac:dyDescent="0.25">
      <c r="A726" s="2"/>
      <c r="B726" s="2"/>
      <c r="C726" s="2"/>
      <c r="D726" s="3"/>
      <c r="E726" s="4"/>
      <c r="F726" s="4"/>
      <c r="G726" s="4"/>
      <c r="H726" s="4"/>
      <c r="I726" s="4"/>
    </row>
    <row r="727" spans="1:9" x14ac:dyDescent="0.25">
      <c r="A727" s="2"/>
      <c r="B727" s="2"/>
      <c r="C727" s="2"/>
      <c r="D727" s="3"/>
      <c r="E727" s="4"/>
      <c r="F727" s="4"/>
      <c r="G727" s="4"/>
      <c r="H727" s="4"/>
      <c r="I727" s="4"/>
    </row>
    <row r="728" spans="1:9" x14ac:dyDescent="0.25">
      <c r="A728" s="2"/>
      <c r="B728" s="2"/>
      <c r="C728" s="2"/>
      <c r="D728" s="3"/>
      <c r="E728" s="4"/>
      <c r="F728" s="4"/>
      <c r="G728" s="4"/>
      <c r="H728" s="4"/>
      <c r="I728" s="4"/>
    </row>
    <row r="729" spans="1:9" x14ac:dyDescent="0.25">
      <c r="A729" s="2"/>
      <c r="B729" s="2"/>
      <c r="C729" s="2"/>
      <c r="D729" s="3"/>
      <c r="E729" s="4"/>
      <c r="F729" s="4"/>
      <c r="G729" s="4"/>
      <c r="H729" s="4"/>
      <c r="I729" s="4"/>
    </row>
    <row r="730" spans="1:9" x14ac:dyDescent="0.25">
      <c r="A730" s="2"/>
      <c r="B730" s="2"/>
      <c r="C730" s="2"/>
      <c r="D730" s="3"/>
      <c r="E730" s="4"/>
      <c r="F730" s="4"/>
      <c r="G730" s="4"/>
      <c r="H730" s="4"/>
      <c r="I730" s="4"/>
    </row>
    <row r="731" spans="1:9" x14ac:dyDescent="0.25">
      <c r="A731" s="2"/>
      <c r="B731" s="2"/>
      <c r="C731" s="2"/>
      <c r="D731" s="3"/>
      <c r="E731" s="4"/>
      <c r="F731" s="4"/>
      <c r="G731" s="4"/>
      <c r="H731" s="4"/>
      <c r="I731" s="4"/>
    </row>
    <row r="732" spans="1:9" x14ac:dyDescent="0.25">
      <c r="A732" s="2"/>
      <c r="B732" s="2"/>
      <c r="C732" s="2"/>
      <c r="D732" s="3"/>
      <c r="E732" s="4"/>
      <c r="F732" s="4"/>
      <c r="G732" s="4"/>
      <c r="H732" s="4"/>
      <c r="I732" s="4"/>
    </row>
    <row r="733" spans="1:9" x14ac:dyDescent="0.25">
      <c r="A733" s="2"/>
      <c r="B733" s="2"/>
      <c r="C733" s="2"/>
      <c r="D733" s="3"/>
      <c r="E733" s="4"/>
      <c r="F733" s="4"/>
      <c r="G733" s="4"/>
      <c r="H733" s="4"/>
      <c r="I733" s="4"/>
    </row>
    <row r="734" spans="1:9" x14ac:dyDescent="0.25">
      <c r="A734" s="2"/>
      <c r="B734" s="2"/>
      <c r="C734" s="2"/>
      <c r="D734" s="3"/>
      <c r="E734" s="4"/>
      <c r="F734" s="4"/>
      <c r="G734" s="4"/>
      <c r="H734" s="4"/>
      <c r="I734" s="4"/>
    </row>
    <row r="735" spans="1:9" x14ac:dyDescent="0.25">
      <c r="A735" s="2"/>
      <c r="B735" s="2"/>
      <c r="C735" s="2"/>
      <c r="D735" s="3"/>
      <c r="E735" s="4"/>
      <c r="F735" s="4"/>
      <c r="G735" s="4"/>
      <c r="H735" s="4"/>
      <c r="I735" s="4"/>
    </row>
    <row r="736" spans="1:9" x14ac:dyDescent="0.25">
      <c r="A736" s="2"/>
      <c r="B736" s="2"/>
      <c r="C736" s="2"/>
      <c r="D736" s="3"/>
      <c r="E736" s="4"/>
      <c r="F736" s="4"/>
      <c r="G736" s="4"/>
      <c r="H736" s="4"/>
      <c r="I736" s="4"/>
    </row>
    <row r="737" spans="1:9" x14ac:dyDescent="0.25">
      <c r="A737" s="2"/>
      <c r="B737" s="2"/>
      <c r="C737" s="2"/>
      <c r="D737" s="3"/>
      <c r="E737" s="4"/>
      <c r="F737" s="4"/>
      <c r="G737" s="4"/>
      <c r="H737" s="4"/>
      <c r="I737" s="4"/>
    </row>
    <row r="738" spans="1:9" x14ac:dyDescent="0.25">
      <c r="A738" s="2"/>
      <c r="B738" s="2"/>
      <c r="C738" s="2"/>
      <c r="D738" s="3"/>
      <c r="E738" s="4"/>
      <c r="F738" s="4"/>
      <c r="G738" s="4"/>
      <c r="H738" s="4"/>
      <c r="I738" s="4"/>
    </row>
    <row r="739" spans="1:9" x14ac:dyDescent="0.25">
      <c r="A739" s="2"/>
      <c r="B739" s="2"/>
      <c r="C739" s="2"/>
      <c r="D739" s="3"/>
      <c r="E739" s="4"/>
      <c r="F739" s="4"/>
      <c r="G739" s="4"/>
      <c r="H739" s="4"/>
      <c r="I739" s="4"/>
    </row>
    <row r="740" spans="1:9" x14ac:dyDescent="0.25">
      <c r="A740" s="2"/>
      <c r="B740" s="2"/>
      <c r="C740" s="2"/>
      <c r="D740" s="3"/>
      <c r="E740" s="4"/>
      <c r="F740" s="4"/>
      <c r="G740" s="4"/>
      <c r="H740" s="4"/>
      <c r="I740" s="4"/>
    </row>
    <row r="741" spans="1:9" x14ac:dyDescent="0.25">
      <c r="A741" s="2"/>
      <c r="B741" s="2"/>
      <c r="C741" s="2"/>
      <c r="D741" s="3"/>
      <c r="E741" s="4"/>
      <c r="F741" s="4"/>
      <c r="G741" s="4"/>
      <c r="H741" s="4"/>
      <c r="I741" s="4"/>
    </row>
    <row r="742" spans="1:9" x14ac:dyDescent="0.25">
      <c r="A742" s="2"/>
      <c r="B742" s="2"/>
      <c r="C742" s="2"/>
      <c r="D742" s="3"/>
      <c r="E742" s="4"/>
      <c r="F742" s="4"/>
      <c r="G742" s="4"/>
      <c r="H742" s="4"/>
      <c r="I742" s="4"/>
    </row>
    <row r="743" spans="1:9" x14ac:dyDescent="0.25">
      <c r="A743" s="2"/>
      <c r="B743" s="2"/>
      <c r="C743" s="2"/>
      <c r="D743" s="3"/>
      <c r="E743" s="4"/>
      <c r="F743" s="4"/>
      <c r="G743" s="4"/>
      <c r="H743" s="4"/>
      <c r="I743" s="4"/>
    </row>
    <row r="744" spans="1:9" x14ac:dyDescent="0.25">
      <c r="A744" s="2"/>
      <c r="B744" s="2"/>
      <c r="C744" s="2"/>
      <c r="D744" s="3"/>
      <c r="E744" s="4"/>
      <c r="F744" s="4"/>
      <c r="G744" s="4"/>
      <c r="H744" s="4"/>
      <c r="I744" s="4"/>
    </row>
    <row r="745" spans="1:9" x14ac:dyDescent="0.25">
      <c r="A745" s="2"/>
      <c r="B745" s="2"/>
      <c r="C745" s="2"/>
      <c r="D745" s="3"/>
      <c r="E745" s="4"/>
      <c r="F745" s="4"/>
      <c r="G745" s="4"/>
      <c r="H745" s="4"/>
      <c r="I745" s="4"/>
    </row>
    <row r="746" spans="1:9" x14ac:dyDescent="0.25">
      <c r="A746" s="2"/>
      <c r="B746" s="2"/>
      <c r="C746" s="2"/>
      <c r="D746" s="3"/>
      <c r="E746" s="4"/>
      <c r="F746" s="4"/>
      <c r="G746" s="4"/>
      <c r="H746" s="4"/>
      <c r="I746" s="4"/>
    </row>
    <row r="747" spans="1:9" x14ac:dyDescent="0.25">
      <c r="A747" s="2"/>
      <c r="B747" s="2"/>
      <c r="C747" s="2"/>
      <c r="D747" s="3"/>
      <c r="E747" s="4"/>
      <c r="F747" s="4"/>
      <c r="G747" s="4"/>
      <c r="H747" s="4"/>
      <c r="I747" s="4"/>
    </row>
    <row r="748" spans="1:9" x14ac:dyDescent="0.25">
      <c r="A748" s="2"/>
      <c r="B748" s="2"/>
      <c r="C748" s="2"/>
      <c r="D748" s="3"/>
      <c r="E748" s="4"/>
      <c r="F748" s="4"/>
      <c r="G748" s="4"/>
      <c r="H748" s="4"/>
      <c r="I748" s="4"/>
    </row>
    <row r="749" spans="1:9" x14ac:dyDescent="0.25">
      <c r="E749" s="4"/>
      <c r="F749" s="4"/>
      <c r="G749" s="4"/>
      <c r="H749" s="4"/>
      <c r="I749" s="4"/>
    </row>
    <row r="750" spans="1:9" x14ac:dyDescent="0.25">
      <c r="E750" s="4"/>
      <c r="F750" s="4"/>
      <c r="G750" s="4"/>
      <c r="H750" s="4"/>
      <c r="I750" s="4"/>
    </row>
  </sheetData>
  <autoFilter ref="B2:B750"/>
  <mergeCells count="17">
    <mergeCell ref="B703:H703"/>
    <mergeCell ref="B704:H704"/>
    <mergeCell ref="B705:H705"/>
    <mergeCell ref="B708:B713"/>
    <mergeCell ref="E708:H713"/>
    <mergeCell ref="B702:E702"/>
    <mergeCell ref="A2:I2"/>
    <mergeCell ref="A3:I3"/>
    <mergeCell ref="A4:I4"/>
    <mergeCell ref="B7:B9"/>
    <mergeCell ref="A7:A9"/>
    <mergeCell ref="E7:H7"/>
    <mergeCell ref="I7:I9"/>
    <mergeCell ref="E8:F8"/>
    <mergeCell ref="D7:D9"/>
    <mergeCell ref="C7:C9"/>
    <mergeCell ref="G8:H8"/>
  </mergeCells>
  <hyperlinks>
    <hyperlink ref="B293" r:id="rId1" display="http://www.knauf.ru/products/alphabet/product.wbp?root_id=a1e9048a-372b-4e03-bb19-0bb2e21f30ca"/>
    <hyperlink ref="B300" r:id="rId2" display="http://www.knauf.ru/products/alphabet/product.wbp?root_id=a1e9048a-372b-4e03-bb19-0bb2e21f30ca"/>
    <hyperlink ref="B319" r:id="rId3" display="http://www.knauf.ru/products/alphabet/product.wbp?root_id=a1e9048a-372b-4e03-bb19-0bb2e21f30ca"/>
    <hyperlink ref="B350" r:id="rId4" display="http://www.knauf.ru/products/alphabet/product.wbp?root_id=a1e9048a-372b-4e03-bb19-0bb2e21f30ca"/>
    <hyperlink ref="B375" r:id="rId5" display="http://www.knauf.ru/products/alphabet/product.wbp?root_id=a1e9048a-372b-4e03-bb19-0bb2e21f30ca"/>
    <hyperlink ref="B387" r:id="rId6" display="http://www.knauf.ru/products/alphabet/product.wbp?root_id=a1e9048a-372b-4e03-bb19-0bb2e21f30ca"/>
    <hyperlink ref="B421" r:id="rId7" display="http://www.knauf.ru/products/alphabet/product.wbp?root_id=a1e9048a-372b-4e03-bb19-0bb2e21f30ca"/>
    <hyperlink ref="B438" r:id="rId8" display="http://www.knauf.ru/products/alphabet/product.wbp?root_id=a1e9048a-372b-4e03-bb19-0bb2e21f30ca"/>
    <hyperlink ref="B404" r:id="rId9" display="http://www.knauf.ru/products/alphabet/product.wbp?root_id=a1e9048a-372b-4e03-bb19-0bb2e21f30ca"/>
    <hyperlink ref="B464" r:id="rId10" display="http://www.knauf.ru/products/alphabet/product.wbp?root_id=a1e9048a-372b-4e03-bb19-0bb2e21f30ca"/>
    <hyperlink ref="B478" r:id="rId11" display="http://www.knauf.ru/products/alphabet/product.wbp?root_id=a1e9048a-372b-4e03-bb19-0bb2e21f30ca"/>
    <hyperlink ref="B495" r:id="rId12" display="http://www.knauf.ru/products/alphabet/product.wbp?root_id=a1e9048a-372b-4e03-bb19-0bb2e21f30ca"/>
    <hyperlink ref="B338" r:id="rId13" display="http://www.knauf.ru/products/alphabet/product.wbp?root_id=a1e9048a-372b-4e03-bb19-0bb2e21f30ca"/>
  </hyperlinks>
  <printOptions horizontalCentered="1"/>
  <pageMargins left="0.19685039370078741" right="0.19685039370078741" top="0.19685039370078741" bottom="0.19685039370078741" header="0.11811023622047245" footer="0.11811023622047245"/>
  <pageSetup paperSize="9" orientation="landscape" verticalDpi="0" r:id="rId14"/>
  <legacyDrawing r:id="rId1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2017-01-18T23:56:07Z</dcterms:modified>
</cp:coreProperties>
</file>