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435" activeTab="1"/>
  </bookViews>
  <sheets>
    <sheet name="Поле корелляции" sheetId="2" r:id="rId1"/>
    <sheet name="Главный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G31" i="1"/>
  <c r="E31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26" i="1"/>
  <c r="B25" i="1"/>
  <c r="B23" i="1"/>
  <c r="B24" i="1"/>
  <c r="B13" i="1"/>
  <c r="B12" i="1"/>
  <c r="B20" i="1" l="1"/>
  <c r="B19" i="1"/>
  <c r="B9" i="1"/>
  <c r="C31" i="1" l="1"/>
  <c r="B28" i="1" l="1"/>
  <c r="C28" i="1" s="1"/>
  <c r="B18" i="1" l="1"/>
  <c r="B15" i="1"/>
  <c r="B10" i="1" l="1"/>
  <c r="B16" i="1" s="1"/>
  <c r="B17" i="1" s="1"/>
  <c r="B11" i="1" l="1"/>
  <c r="C8" i="1"/>
  <c r="D8" i="1"/>
  <c r="E8" i="1"/>
  <c r="F8" i="1"/>
  <c r="G8" i="1"/>
  <c r="H8" i="1"/>
  <c r="I8" i="1"/>
  <c r="J8" i="1"/>
  <c r="K8" i="1"/>
  <c r="B8" i="1"/>
  <c r="L3" i="1"/>
  <c r="L4" i="1"/>
  <c r="M2" i="1" s="1"/>
  <c r="L8" i="1" l="1"/>
  <c r="L6" i="1"/>
  <c r="P2" i="1" s="1"/>
  <c r="R2" i="1" s="1"/>
  <c r="L7" i="1"/>
  <c r="O2" i="1"/>
  <c r="N2" i="1"/>
  <c r="Q2" i="1" l="1"/>
  <c r="S2" i="1" s="1"/>
  <c r="B14" i="1"/>
  <c r="C14" i="1"/>
  <c r="C22" i="1" s="1"/>
  <c r="D14" i="1"/>
  <c r="D22" i="1" s="1"/>
  <c r="F14" i="1"/>
  <c r="F22" i="1" s="1"/>
  <c r="G14" i="1"/>
  <c r="G22" i="1" s="1"/>
  <c r="H14" i="1"/>
  <c r="H22" i="1" s="1"/>
  <c r="J14" i="1"/>
  <c r="J22" i="1" s="1"/>
  <c r="E14" i="1"/>
  <c r="E22" i="1" s="1"/>
  <c r="I14" i="1"/>
  <c r="I22" i="1" s="1"/>
  <c r="K14" i="1"/>
  <c r="K22" i="1" s="1"/>
  <c r="B22" i="1" l="1"/>
  <c r="L22" i="1" s="1"/>
  <c r="L14" i="1"/>
  <c r="E34" i="1" l="1"/>
  <c r="C34" i="1"/>
  <c r="B30" i="1"/>
  <c r="E33" i="1"/>
  <c r="C33" i="1"/>
  <c r="B29" i="1"/>
</calcChain>
</file>

<file path=xl/sharedStrings.xml><?xml version="1.0" encoding="utf-8"?>
<sst xmlns="http://schemas.openxmlformats.org/spreadsheetml/2006/main" count="85" uniqueCount="73">
  <si>
    <t>i</t>
  </si>
  <si>
    <t>y</t>
  </si>
  <si>
    <t>x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</si>
  <si>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</si>
  <si>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</si>
  <si>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</si>
  <si>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</si>
  <si>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</si>
  <si>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</si>
  <si>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>Столбец 7</t>
  </si>
  <si>
    <t>Столбец 8</t>
  </si>
  <si>
    <t>Столбец 9</t>
  </si>
  <si>
    <t>Столбец 10</t>
  </si>
  <si>
    <t>Сумма</t>
  </si>
  <si>
    <t>x^2</t>
  </si>
  <si>
    <t>xy</t>
  </si>
  <si>
    <t>y^2</t>
  </si>
  <si>
    <t>r=</t>
  </si>
  <si>
    <t>|r|=</t>
  </si>
  <si>
    <t>N=</t>
  </si>
  <si>
    <t>a=</t>
  </si>
  <si>
    <t>b=</t>
  </si>
  <si>
    <t>(n-2)^(1/2)</t>
  </si>
  <si>
    <t>(1-r^2)^(1/2)</t>
  </si>
  <si>
    <t>Кол-во степеней свободы для Стьюдента</t>
  </si>
  <si>
    <r>
      <t>Уровень значимости для Стьюдента(</t>
    </r>
    <r>
      <rPr>
        <sz val="11"/>
        <color theme="1"/>
        <rFont val="Calibri"/>
        <family val="2"/>
        <charset val="204"/>
      </rPr>
      <t>α/2)</t>
    </r>
  </si>
  <si>
    <t>S^2</t>
  </si>
  <si>
    <t>(yi - yx)^2</t>
  </si>
  <si>
    <t>S</t>
  </si>
  <si>
    <t>Sa</t>
  </si>
  <si>
    <t>Sb</t>
  </si>
  <si>
    <t>⌐x</t>
  </si>
  <si>
    <t>⌐y</t>
  </si>
  <si>
    <t>⌐xy</t>
  </si>
  <si>
    <t>S^2(x)</t>
  </si>
  <si>
    <t>S^2(y)</t>
  </si>
  <si>
    <t>S(x)</t>
  </si>
  <si>
    <t>S(y)</t>
  </si>
  <si>
    <t>чем меньше значение стандартной ошибки регрессии, тем качество модели выше</t>
  </si>
  <si>
    <t>R^2</t>
  </si>
  <si>
    <t>Tb</t>
  </si>
  <si>
    <t>Ta</t>
  </si>
  <si>
    <t>Дов.интервал для коэф.корреляции</t>
  </si>
  <si>
    <t>r</t>
  </si>
  <si>
    <t>(</t>
  </si>
  <si>
    <t>;</t>
  </si>
  <si>
    <t>)</t>
  </si>
  <si>
    <t>Для a</t>
  </si>
  <si>
    <t>Для b</t>
  </si>
  <si>
    <t>Дов.интервал для коэф.ур регрессии:</t>
  </si>
  <si>
    <t>от</t>
  </si>
  <si>
    <t>до</t>
  </si>
  <si>
    <t>βj</t>
  </si>
  <si>
    <t>a и b-коэффициенты линейной регрессии</t>
  </si>
  <si>
    <t>a=(n*∑x*y-∑x*∑y)/n*∑x^2-(∑x)^2</t>
  </si>
  <si>
    <t>b=(∑y-a*∑x)/N</t>
  </si>
  <si>
    <r>
      <rPr>
        <sz val="11"/>
        <color theme="1"/>
        <rFont val="Calibri"/>
        <family val="2"/>
        <charset val="204"/>
      </rPr>
      <t>→</t>
    </r>
    <r>
      <rPr>
        <sz val="11"/>
        <color theme="1"/>
        <rFont val="Calibri"/>
        <family val="2"/>
        <charset val="204"/>
        <scheme val="minor"/>
      </rPr>
      <t>значение найдено по таблице Стьюдента</t>
    </r>
  </si>
  <si>
    <t>→необъясненная дисперсия или дисперсия ошибки регрессии</t>
  </si>
  <si>
    <t>→стандартная ошибка оценки</t>
  </si>
  <si>
    <t>→стандартное отклонение случайной величины a</t>
  </si>
  <si>
    <t>→стандартное отклонение случайной величины b</t>
  </si>
  <si>
    <t>(∑(x- x̅)(y-ȳ))/√∑(x- x̅)^2∑(y-ȳ)^2-формула корреляции</t>
  </si>
  <si>
    <t>T набл</t>
  </si>
  <si>
    <t>T крит(8;0,025)</t>
  </si>
  <si>
    <t>→Т.е. увеличение x на величину среднеквадратического отклонения Sx приведет к увеличению среднего значения Y на 62% среднеквадратичного отклонения Sy</t>
  </si>
  <si>
    <t>(r-T крит*(√1-r^2/n-2);r+T крит*(√1-r^2/n-2))-доверительный интервал</t>
  </si>
  <si>
    <t>случаев изменения X приводят к изменению y. Точность подбора уравнения регрессии - низкая</t>
  </si>
  <si>
    <t>Т.к. T крит &gt; |T набл|, то полученное значение коэффициента корреляции признается незначимым(нулевая гипотеза принимается)</t>
  </si>
  <si>
    <t>связь между признаком Y и фактором X заметная и прямая(по шкале Чеддока)</t>
  </si>
  <si>
    <t>ў=0,546x+0,555-уравнение регрессии</t>
  </si>
  <si>
    <t>Т.к. Tb &lt; T крит, то статистическая значимость коэффициента регрессии а не подтверждается (принимаем гипотезу о равенстве нулю этого коэффициента)</t>
  </si>
  <si>
    <t>Т.к. Ta &lt; T крит, то статистическая значимость коэффициента регрессии b не подтверждается (принимаем гипотезу о равенстве нулю этого коэффициента)</t>
  </si>
  <si>
    <t>Исходные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</si>
</sst>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1" xfId="0" applyFont="1" applyFill="1" applyBorder="1"/>
    <xf numFmtId="0" fontId="2" fillId="0" borderId="7" xfId="0" applyFont="1" applyFill="1" applyBorder="1"/>
    <xf numFmtId="0" fontId="2" fillId="0" borderId="2" xfId="0" applyFont="1" applyFill="1" applyBorder="1"/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0" fillId="0" borderId="1" xfId="0" applyFill="1" applyBorder="1" applyAlignment="1"/>
    <xf numFmtId="0" fontId="0" fillId="0" borderId="1" xfId="0" applyFill="1" applyBorder="1"/>
    <xf numFmtId="0" fontId="0" fillId="0" borderId="0" xfId="0" applyFill="1"/>
    <xf numFmtId="0" fontId="2" fillId="0" borderId="0" xfId="0" applyFont="1" applyFill="1"/>
    <xf numFmtId="2" fontId="0" fillId="0" borderId="1" xfId="0" applyNumberFormat="1" applyFill="1" applyBorder="1"/>
    <xf numFmtId="0" fontId="1" fillId="0" borderId="0" xfId="0" applyFont="1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4" xfId="0" applyFill="1" applyBorder="1"/>
    <xf numFmtId="0" fontId="0" fillId="0" borderId="5" xfId="0" applyFill="1" applyBorder="1"/>
    <xf numFmtId="2" fontId="0" fillId="0" borderId="4" xfId="0" applyNumberFormat="1" applyFill="1" applyBorder="1"/>
    <xf numFmtId="0" fontId="0" fillId="0" borderId="6" xfId="0" applyFill="1" applyBorder="1"/>
    <xf numFmtId="10" fontId="0" fillId="0" borderId="4" xfId="0" applyNumberFormat="1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Поле</a:t>
            </a:r>
            <a:r>
              <a:rPr lang="ru-RU" baseline="0"/>
              <a:t> корелляции</a:t>
            </a:r>
            <a:r>
              <a:rPr lang="en-US" baseline="0"/>
              <a:t>, </a:t>
            </a:r>
            <a:r>
              <a:rPr lang="ru-RU" baseline="0"/>
              <a:t>кривая эффекта и модель регрессии</a:t>
            </a:r>
          </a:p>
        </c:rich>
      </c:tx>
      <c:layout>
        <c:manualLayout>
          <c:xMode val="edge"/>
          <c:yMode val="edge"/>
          <c:x val="0.1529185612361835"/>
          <c:y val="1.6293275538533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Поле корелляции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Главный!$B$4:$K$4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0.7</c:v>
                </c:pt>
                <c:pt idx="2">
                  <c:v>2.5</c:v>
                </c:pt>
                <c:pt idx="3">
                  <c:v>1.8</c:v>
                </c:pt>
                <c:pt idx="4">
                  <c:v>1.9</c:v>
                </c:pt>
                <c:pt idx="5">
                  <c:v>0.9</c:v>
                </c:pt>
                <c:pt idx="6">
                  <c:v>1.1000000000000001</c:v>
                </c:pt>
                <c:pt idx="7">
                  <c:v>2.7</c:v>
                </c:pt>
                <c:pt idx="8">
                  <c:v>1</c:v>
                </c:pt>
                <c:pt idx="9">
                  <c:v>2</c:v>
                </c:pt>
              </c:numCache>
            </c:numRef>
          </c:xVal>
          <c:yVal>
            <c:numRef>
              <c:f>Главный!$B$3:$K$3</c:f>
              <c:numCache>
                <c:formatCode>General</c:formatCode>
                <c:ptCount val="10"/>
                <c:pt idx="0">
                  <c:v>2.4</c:v>
                </c:pt>
                <c:pt idx="1">
                  <c:v>1.3</c:v>
                </c:pt>
                <c:pt idx="2">
                  <c:v>2.4</c:v>
                </c:pt>
                <c:pt idx="3">
                  <c:v>1.9</c:v>
                </c:pt>
                <c:pt idx="4">
                  <c:v>2.2000000000000002</c:v>
                </c:pt>
                <c:pt idx="5">
                  <c:v>1.2</c:v>
                </c:pt>
                <c:pt idx="6">
                  <c:v>1.4</c:v>
                </c:pt>
                <c:pt idx="7">
                  <c:v>3.7</c:v>
                </c:pt>
                <c:pt idx="8">
                  <c:v>2.8</c:v>
                </c:pt>
                <c:pt idx="9">
                  <c:v>1.3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Главный!$B$4:$K$4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0.7</c:v>
                </c:pt>
                <c:pt idx="2">
                  <c:v>2.5</c:v>
                </c:pt>
                <c:pt idx="3">
                  <c:v>1.8</c:v>
                </c:pt>
                <c:pt idx="4">
                  <c:v>1.9</c:v>
                </c:pt>
                <c:pt idx="5">
                  <c:v>0.9</c:v>
                </c:pt>
                <c:pt idx="6">
                  <c:v>1.1000000000000001</c:v>
                </c:pt>
                <c:pt idx="7">
                  <c:v>2.7</c:v>
                </c:pt>
                <c:pt idx="8">
                  <c:v>1</c:v>
                </c:pt>
                <c:pt idx="9">
                  <c:v>2</c:v>
                </c:pt>
              </c:numCache>
            </c:numRef>
          </c:xVal>
          <c:yVal>
            <c:numRef>
              <c:f>Главный!$B$14:$K$14</c:f>
              <c:numCache>
                <c:formatCode>General</c:formatCode>
                <c:ptCount val="10"/>
                <c:pt idx="0">
                  <c:v>1.7564672000000003</c:v>
                </c:pt>
                <c:pt idx="1">
                  <c:v>0.93716569999999999</c:v>
                </c:pt>
                <c:pt idx="2">
                  <c:v>1.9203275</c:v>
                </c:pt>
                <c:pt idx="3">
                  <c:v>1.5379868000000001</c:v>
                </c:pt>
                <c:pt idx="4">
                  <c:v>1.5926069000000003</c:v>
                </c:pt>
                <c:pt idx="5">
                  <c:v>1.0464059000000001</c:v>
                </c:pt>
                <c:pt idx="6">
                  <c:v>1.1556461000000002</c:v>
                </c:pt>
                <c:pt idx="7">
                  <c:v>2.0295677000000003</c:v>
                </c:pt>
                <c:pt idx="8">
                  <c:v>1.1010260000000001</c:v>
                </c:pt>
                <c:pt idx="9">
                  <c:v>1.647227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76088"/>
        <c:axId val="553580792"/>
      </c:scatterChart>
      <c:valAx>
        <c:axId val="55357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580792"/>
        <c:crosses val="autoZero"/>
        <c:crossBetween val="midCat"/>
      </c:valAx>
      <c:valAx>
        <c:axId val="55358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57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</xdr:row>
      <xdr:rowOff>38100</xdr:rowOff>
    </xdr:from>
    <xdr:to>
      <xdr:col>0</xdr:col>
      <xdr:colOff>257175</xdr:colOff>
      <xdr:row>14</xdr:row>
      <xdr:rowOff>28575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514600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</xdr:row>
      <xdr:rowOff>14287</xdr:rowOff>
    </xdr:from>
    <xdr:to>
      <xdr:col>18</xdr:col>
      <xdr:colOff>476250</xdr:colOff>
      <xdr:row>14</xdr:row>
      <xdr:rowOff>66675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8" sqref="B8"/>
    </sheetView>
  </sheetViews>
  <sheetFormatPr defaultRowHeight="15" x14ac:dyDescent="0.25"/>
  <cols>
    <col min="1" max="1" width="13.5703125" customWidth="1"/>
    <col min="5" max="5" width="11.140625" customWidth="1"/>
    <col min="11" max="11" width="12" customWidth="1"/>
  </cols>
  <sheetData>
    <row r="1" spans="1:11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5">
      <c r="A2" t="s">
        <v>3</v>
      </c>
      <c r="B2">
        <v>1</v>
      </c>
    </row>
    <row r="3" spans="1:11" x14ac:dyDescent="0.25">
      <c r="A3" t="s">
        <v>4</v>
      </c>
      <c r="B3">
        <v>1</v>
      </c>
      <c r="C3">
        <v>1</v>
      </c>
    </row>
    <row r="4" spans="1:11" x14ac:dyDescent="0.25">
      <c r="A4" t="s">
        <v>5</v>
      </c>
      <c r="B4">
        <v>1.0000000000000002</v>
      </c>
      <c r="C4">
        <v>0.99999999999999989</v>
      </c>
      <c r="D4">
        <v>1</v>
      </c>
    </row>
    <row r="5" spans="1:11" x14ac:dyDescent="0.25">
      <c r="A5" t="s">
        <v>6</v>
      </c>
      <c r="B5">
        <v>1</v>
      </c>
      <c r="C5">
        <v>1</v>
      </c>
      <c r="D5">
        <v>1.0000000000000002</v>
      </c>
      <c r="E5">
        <v>1</v>
      </c>
    </row>
    <row r="6" spans="1:11" x14ac:dyDescent="0.25">
      <c r="A6" t="s">
        <v>7</v>
      </c>
      <c r="B6">
        <v>1</v>
      </c>
      <c r="C6">
        <v>0.99999999999999978</v>
      </c>
      <c r="D6">
        <v>1</v>
      </c>
      <c r="E6">
        <v>1</v>
      </c>
      <c r="F6">
        <v>1</v>
      </c>
    </row>
    <row r="7" spans="1:11" x14ac:dyDescent="0.25">
      <c r="A7" t="s">
        <v>8</v>
      </c>
      <c r="B7">
        <v>1</v>
      </c>
      <c r="C7">
        <v>1</v>
      </c>
      <c r="D7">
        <v>1.0000000000000002</v>
      </c>
      <c r="E7">
        <v>1</v>
      </c>
      <c r="F7">
        <v>1</v>
      </c>
      <c r="G7">
        <v>1</v>
      </c>
    </row>
    <row r="8" spans="1:11" x14ac:dyDescent="0.25">
      <c r="A8" t="s">
        <v>9</v>
      </c>
      <c r="B8">
        <v>1</v>
      </c>
      <c r="C8">
        <v>1</v>
      </c>
      <c r="D8">
        <v>1.0000000000000002</v>
      </c>
      <c r="E8">
        <v>1</v>
      </c>
      <c r="F8">
        <v>1</v>
      </c>
      <c r="G8">
        <v>1.0000000000000002</v>
      </c>
      <c r="H8">
        <v>1</v>
      </c>
    </row>
    <row r="9" spans="1:11" x14ac:dyDescent="0.25">
      <c r="A9" t="s">
        <v>10</v>
      </c>
      <c r="B9">
        <v>0.99999999999999978</v>
      </c>
      <c r="C9">
        <v>0.99999999999999989</v>
      </c>
      <c r="D9">
        <v>1</v>
      </c>
      <c r="E9">
        <v>0.99999999999999978</v>
      </c>
      <c r="F9">
        <v>0.99999999999999978</v>
      </c>
      <c r="G9">
        <v>0.99999999999999989</v>
      </c>
      <c r="H9">
        <v>0.99999999999999989</v>
      </c>
      <c r="I9">
        <v>1</v>
      </c>
    </row>
    <row r="10" spans="1:11" x14ac:dyDescent="0.25">
      <c r="A10" t="s">
        <v>11</v>
      </c>
      <c r="B10">
        <v>1</v>
      </c>
      <c r="C10">
        <v>1</v>
      </c>
      <c r="D10">
        <v>1.0000000000000002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1" x14ac:dyDescent="0.25">
      <c r="A11" t="s">
        <v>12</v>
      </c>
      <c r="B11">
        <v>1</v>
      </c>
      <c r="C11">
        <v>0.99999999999999989</v>
      </c>
      <c r="D11">
        <v>1</v>
      </c>
      <c r="E11">
        <v>1</v>
      </c>
      <c r="F11">
        <v>1</v>
      </c>
      <c r="G11">
        <v>1</v>
      </c>
      <c r="H11">
        <v>1</v>
      </c>
      <c r="I11">
        <v>0.99999999999999978</v>
      </c>
      <c r="J11">
        <v>1</v>
      </c>
      <c r="K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workbookViewId="0">
      <selection activeCell="G34" sqref="G34"/>
    </sheetView>
  </sheetViews>
  <sheetFormatPr defaultRowHeight="15" x14ac:dyDescent="0.25"/>
  <cols>
    <col min="1" max="1" width="40.28515625" customWidth="1"/>
    <col min="12" max="12" width="9.140625" customWidth="1"/>
    <col min="17" max="17" width="8.85546875" customWidth="1"/>
    <col min="18" max="18" width="8.42578125" customWidth="1"/>
    <col min="19" max="19" width="10.85546875" customWidth="1"/>
    <col min="22" max="22" width="14.28515625" customWidth="1"/>
  </cols>
  <sheetData>
    <row r="1" spans="1:22" x14ac:dyDescent="0.25">
      <c r="A1" s="24" t="s">
        <v>72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6" t="s">
        <v>13</v>
      </c>
      <c r="M1" s="7" t="s">
        <v>32</v>
      </c>
      <c r="N1" s="8" t="s">
        <v>31</v>
      </c>
      <c r="O1" s="9" t="s">
        <v>33</v>
      </c>
      <c r="P1" s="9" t="s">
        <v>35</v>
      </c>
      <c r="Q1" s="9" t="s">
        <v>34</v>
      </c>
      <c r="R1" s="9" t="s">
        <v>37</v>
      </c>
      <c r="S1" s="9" t="s">
        <v>36</v>
      </c>
      <c r="T1" s="10"/>
      <c r="U1" s="10"/>
      <c r="V1" s="10"/>
    </row>
    <row r="2" spans="1:22" x14ac:dyDescent="0.25">
      <c r="A2" s="9" t="s">
        <v>0</v>
      </c>
      <c r="B2" s="9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/>
      <c r="M2" s="9">
        <f>$L$4/$B$11</f>
        <v>1.6800000000000002</v>
      </c>
      <c r="N2" s="9">
        <f>$L$3/$B$11</f>
        <v>2.06</v>
      </c>
      <c r="O2" s="9">
        <f>$L$8/$B$11</f>
        <v>3.78</v>
      </c>
      <c r="P2" s="9">
        <f>$L$6/$B$11-$M$2*$M$2</f>
        <v>0.45159999999999956</v>
      </c>
      <c r="Q2" s="9">
        <f>$L$7/$B$11-$N$2*$N$2</f>
        <v>0.58439999999999959</v>
      </c>
      <c r="R2" s="9">
        <f>SQRT($P$2)</f>
        <v>0.67201190465645733</v>
      </c>
      <c r="S2" s="9">
        <f>SQRT($Q$2)</f>
        <v>0.76446059414465539</v>
      </c>
      <c r="T2" s="10"/>
      <c r="U2" s="10"/>
      <c r="V2" s="10"/>
    </row>
    <row r="3" spans="1:22" x14ac:dyDescent="0.25">
      <c r="A3" s="9" t="s">
        <v>2</v>
      </c>
      <c r="B3" s="9">
        <v>2.4</v>
      </c>
      <c r="C3" s="9">
        <v>1.3</v>
      </c>
      <c r="D3" s="9">
        <v>2.4</v>
      </c>
      <c r="E3" s="9">
        <v>1.9</v>
      </c>
      <c r="F3" s="9">
        <v>2.2000000000000002</v>
      </c>
      <c r="G3" s="9">
        <v>1.2</v>
      </c>
      <c r="H3" s="9">
        <v>1.4</v>
      </c>
      <c r="I3" s="9">
        <v>3.7</v>
      </c>
      <c r="J3" s="9">
        <v>2.8</v>
      </c>
      <c r="K3" s="9">
        <v>1.3</v>
      </c>
      <c r="L3" s="9">
        <f>SUM(B3:K3)</f>
        <v>20.6</v>
      </c>
      <c r="M3" s="2"/>
      <c r="N3" s="2"/>
      <c r="O3" s="10"/>
      <c r="P3" s="10"/>
      <c r="Q3" s="2"/>
      <c r="R3" s="2"/>
      <c r="S3" s="11"/>
      <c r="T3" s="10"/>
      <c r="U3" s="10"/>
      <c r="V3" s="10"/>
    </row>
    <row r="4" spans="1:22" x14ac:dyDescent="0.25">
      <c r="A4" s="9" t="s">
        <v>1</v>
      </c>
      <c r="B4" s="9">
        <v>2.2000000000000002</v>
      </c>
      <c r="C4" s="9">
        <v>0.7</v>
      </c>
      <c r="D4" s="9">
        <v>2.5</v>
      </c>
      <c r="E4" s="9">
        <v>1.8</v>
      </c>
      <c r="F4" s="9">
        <v>1.9</v>
      </c>
      <c r="G4" s="9">
        <v>0.9</v>
      </c>
      <c r="H4" s="9">
        <v>1.1000000000000001</v>
      </c>
      <c r="I4" s="9">
        <v>2.7</v>
      </c>
      <c r="J4" s="9">
        <v>1</v>
      </c>
      <c r="K4" s="9">
        <v>2</v>
      </c>
      <c r="L4" s="14">
        <f>SUM(B4:K4)</f>
        <v>16.8</v>
      </c>
      <c r="M4" s="2"/>
      <c r="N4" s="2"/>
      <c r="O4" s="10"/>
      <c r="P4" s="10"/>
      <c r="Q4" s="2"/>
      <c r="R4" s="2"/>
      <c r="S4" s="10"/>
      <c r="T4" s="10"/>
      <c r="U4" s="10"/>
      <c r="V4" s="10"/>
    </row>
    <row r="5" spans="1:22" x14ac:dyDescent="0.25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0"/>
      <c r="M5" s="2"/>
      <c r="N5" s="10"/>
      <c r="O5" s="10"/>
      <c r="P5" s="10"/>
      <c r="Q5" s="2"/>
      <c r="R5" s="2"/>
      <c r="S5" s="10"/>
      <c r="T5" s="10"/>
      <c r="U5" s="10"/>
      <c r="V5" s="10"/>
    </row>
    <row r="6" spans="1:22" x14ac:dyDescent="0.25">
      <c r="A6" s="9" t="s">
        <v>16</v>
      </c>
      <c r="B6" s="9">
        <f>B$4*B$4</f>
        <v>4.8400000000000007</v>
      </c>
      <c r="C6" s="9">
        <f t="shared" ref="C6:K6" si="0">C$4*C$4</f>
        <v>0.48999999999999994</v>
      </c>
      <c r="D6" s="9">
        <f t="shared" si="0"/>
        <v>6.25</v>
      </c>
      <c r="E6" s="9">
        <f t="shared" si="0"/>
        <v>3.24</v>
      </c>
      <c r="F6" s="9">
        <f t="shared" si="0"/>
        <v>3.61</v>
      </c>
      <c r="G6" s="9">
        <f t="shared" si="0"/>
        <v>0.81</v>
      </c>
      <c r="H6" s="9">
        <f t="shared" si="0"/>
        <v>1.2100000000000002</v>
      </c>
      <c r="I6" s="9">
        <f t="shared" si="0"/>
        <v>7.2900000000000009</v>
      </c>
      <c r="J6" s="9">
        <f t="shared" si="0"/>
        <v>1</v>
      </c>
      <c r="K6" s="9">
        <f t="shared" si="0"/>
        <v>4</v>
      </c>
      <c r="L6" s="18">
        <f>SUM(B6:K6)</f>
        <v>32.74</v>
      </c>
      <c r="M6" s="2"/>
      <c r="N6" s="10"/>
      <c r="O6" s="10"/>
      <c r="P6" s="10"/>
      <c r="Q6" s="2"/>
      <c r="R6" s="2"/>
      <c r="S6" s="10"/>
      <c r="T6" s="10"/>
      <c r="U6" s="10"/>
      <c r="V6" s="10"/>
    </row>
    <row r="7" spans="1:22" x14ac:dyDescent="0.25">
      <c r="A7" s="9" t="s">
        <v>14</v>
      </c>
      <c r="B7" s="9">
        <f>B$3*B$3</f>
        <v>5.76</v>
      </c>
      <c r="C7" s="9">
        <f t="shared" ref="C7:K7" si="1">C$3*C$3</f>
        <v>1.6900000000000002</v>
      </c>
      <c r="D7" s="9">
        <f t="shared" si="1"/>
        <v>5.76</v>
      </c>
      <c r="E7" s="9">
        <f t="shared" si="1"/>
        <v>3.61</v>
      </c>
      <c r="F7" s="9">
        <f t="shared" si="1"/>
        <v>4.8400000000000007</v>
      </c>
      <c r="G7" s="9">
        <f t="shared" si="1"/>
        <v>1.44</v>
      </c>
      <c r="H7" s="9">
        <f t="shared" si="1"/>
        <v>1.9599999999999997</v>
      </c>
      <c r="I7" s="9">
        <f t="shared" si="1"/>
        <v>13.690000000000001</v>
      </c>
      <c r="J7" s="9">
        <f t="shared" si="1"/>
        <v>7.839999999999999</v>
      </c>
      <c r="K7" s="9">
        <f t="shared" si="1"/>
        <v>1.6900000000000002</v>
      </c>
      <c r="L7" s="14">
        <f>SUM(B7:K7)</f>
        <v>48.279999999999994</v>
      </c>
      <c r="M7" s="2"/>
      <c r="N7" s="10"/>
      <c r="O7" s="10"/>
      <c r="P7" s="10"/>
      <c r="Q7" s="2"/>
      <c r="R7" s="2"/>
      <c r="S7" s="10"/>
      <c r="T7" s="10"/>
      <c r="U7" s="10"/>
      <c r="V7" s="10"/>
    </row>
    <row r="8" spans="1:22" x14ac:dyDescent="0.25">
      <c r="A8" s="9" t="s">
        <v>15</v>
      </c>
      <c r="B8" s="9">
        <f>B3*B4</f>
        <v>5.28</v>
      </c>
      <c r="C8" s="9">
        <f t="shared" ref="C8:K8" si="2">C3*C4</f>
        <v>0.90999999999999992</v>
      </c>
      <c r="D8" s="9">
        <f t="shared" si="2"/>
        <v>6</v>
      </c>
      <c r="E8" s="9">
        <f t="shared" si="2"/>
        <v>3.42</v>
      </c>
      <c r="F8" s="9">
        <f t="shared" si="2"/>
        <v>4.18</v>
      </c>
      <c r="G8" s="9">
        <f t="shared" si="2"/>
        <v>1.08</v>
      </c>
      <c r="H8" s="14">
        <f t="shared" si="2"/>
        <v>1.54</v>
      </c>
      <c r="I8" s="9">
        <f t="shared" si="2"/>
        <v>9.990000000000002</v>
      </c>
      <c r="J8" s="9">
        <f t="shared" si="2"/>
        <v>2.8</v>
      </c>
      <c r="K8" s="19">
        <f t="shared" si="2"/>
        <v>2.6</v>
      </c>
      <c r="L8" s="9">
        <f>SUM(B8:K8)</f>
        <v>37.799999999999997</v>
      </c>
      <c r="M8" s="2"/>
      <c r="N8" s="10"/>
      <c r="O8" s="10"/>
      <c r="P8" s="10"/>
      <c r="Q8" s="10"/>
      <c r="R8" s="10"/>
      <c r="S8" s="10"/>
      <c r="T8" s="10"/>
      <c r="U8" s="10"/>
      <c r="V8" s="10"/>
    </row>
    <row r="9" spans="1:22" x14ac:dyDescent="0.25">
      <c r="A9" s="9" t="s">
        <v>17</v>
      </c>
      <c r="B9" s="12">
        <f>CORREL(B4:K4,B3:K3)</f>
        <v>0.62134214508571239</v>
      </c>
      <c r="C9" s="9" t="s">
        <v>68</v>
      </c>
      <c r="D9" s="9"/>
      <c r="E9" s="9"/>
      <c r="F9" s="9"/>
      <c r="G9" s="19"/>
      <c r="H9" s="9"/>
      <c r="I9" s="9"/>
      <c r="J9" s="9"/>
      <c r="K9" s="2"/>
      <c r="L9" s="2"/>
      <c r="M9" s="2"/>
      <c r="N9" s="2"/>
      <c r="O9" s="2"/>
      <c r="P9" s="10"/>
      <c r="Q9" s="13"/>
      <c r="R9" s="2"/>
      <c r="S9" s="2"/>
      <c r="T9" s="2"/>
      <c r="U9" s="2"/>
      <c r="V9" s="2"/>
    </row>
    <row r="10" spans="1:22" x14ac:dyDescent="0.25">
      <c r="A10" s="9" t="s">
        <v>18</v>
      </c>
      <c r="B10" s="12">
        <f>ABS(B9)</f>
        <v>0.62134214508571239</v>
      </c>
      <c r="C10" s="2"/>
      <c r="D10" s="9" t="s">
        <v>54</v>
      </c>
      <c r="E10" s="9"/>
      <c r="F10" s="9"/>
      <c r="G10" s="9"/>
      <c r="H10" s="2"/>
      <c r="I10" s="2"/>
      <c r="J10" s="2"/>
      <c r="K10" s="2"/>
      <c r="L10" s="2"/>
      <c r="M10" s="2"/>
      <c r="N10" s="2"/>
      <c r="O10" s="10"/>
      <c r="P10" s="10"/>
      <c r="Q10" s="2"/>
      <c r="R10" s="2"/>
      <c r="S10" s="2"/>
      <c r="T10" s="2"/>
      <c r="U10" s="2"/>
      <c r="V10" s="2"/>
    </row>
    <row r="11" spans="1:22" x14ac:dyDescent="0.25">
      <c r="A11" s="9" t="s">
        <v>19</v>
      </c>
      <c r="B11" s="9">
        <f>COUNT(B2:K2)</f>
        <v>10</v>
      </c>
      <c r="C11" s="2"/>
      <c r="D11" s="9" t="s">
        <v>53</v>
      </c>
      <c r="E11" s="9"/>
      <c r="F11" s="9"/>
      <c r="G11" s="9"/>
      <c r="H11" s="14"/>
      <c r="I11" s="2"/>
      <c r="J11" s="2"/>
      <c r="K11" s="2"/>
      <c r="L11" s="2"/>
      <c r="M11" s="2"/>
      <c r="N11" s="2"/>
      <c r="O11" s="10"/>
      <c r="P11" s="10"/>
      <c r="Q11" s="2"/>
      <c r="R11" s="2"/>
      <c r="S11" s="2"/>
      <c r="T11" s="2"/>
      <c r="U11" s="2"/>
      <c r="V11" s="2"/>
    </row>
    <row r="12" spans="1:22" x14ac:dyDescent="0.25">
      <c r="A12" s="9" t="s">
        <v>20</v>
      </c>
      <c r="B12" s="9">
        <f>0.554825</f>
        <v>0.55482500000000001</v>
      </c>
      <c r="C12" s="2"/>
      <c r="D12" s="9" t="s">
        <v>69</v>
      </c>
      <c r="E12" s="9"/>
      <c r="F12" s="9"/>
      <c r="G12" s="19"/>
      <c r="H12" s="28"/>
      <c r="I12" s="2"/>
      <c r="J12" s="2"/>
      <c r="K12" s="2"/>
      <c r="L12" s="2"/>
      <c r="M12" s="2"/>
      <c r="N12" s="2"/>
      <c r="O12" s="10"/>
      <c r="P12" s="10"/>
      <c r="Q12" s="2"/>
      <c r="R12" s="2"/>
      <c r="S12" s="2"/>
      <c r="T12" s="2"/>
      <c r="U12" s="2"/>
      <c r="V12" s="2"/>
    </row>
    <row r="13" spans="1:22" x14ac:dyDescent="0.25">
      <c r="A13" s="9" t="s">
        <v>21</v>
      </c>
      <c r="B13" s="9">
        <f>0.546201</f>
        <v>0.54620100000000005</v>
      </c>
      <c r="C13" s="2"/>
      <c r="D13" s="9" t="s">
        <v>55</v>
      </c>
      <c r="E13" s="9"/>
      <c r="F13" s="2"/>
      <c r="G13" s="2"/>
      <c r="H13" s="2"/>
      <c r="I13" s="2"/>
      <c r="J13" s="2"/>
      <c r="K13" s="2"/>
      <c r="L13" s="2"/>
      <c r="M13" s="2"/>
      <c r="N13" s="2"/>
      <c r="O13" s="10"/>
      <c r="P13" s="10"/>
      <c r="Q13" s="2"/>
      <c r="R13" s="2"/>
      <c r="S13" s="2"/>
      <c r="T13" s="2"/>
      <c r="U13" s="2"/>
      <c r="V13" s="2"/>
    </row>
    <row r="14" spans="1:22" x14ac:dyDescent="0.25">
      <c r="A14" s="9"/>
      <c r="B14" s="9">
        <f>$B$12+$B$13*B$4</f>
        <v>1.7564672000000003</v>
      </c>
      <c r="C14" s="9">
        <f t="shared" ref="C14:K14" si="3">$B$12+$B$13*C$4</f>
        <v>0.93716569999999999</v>
      </c>
      <c r="D14" s="9">
        <f t="shared" si="3"/>
        <v>1.9203275</v>
      </c>
      <c r="E14" s="9">
        <f t="shared" si="3"/>
        <v>1.5379868000000001</v>
      </c>
      <c r="F14" s="9">
        <f t="shared" si="3"/>
        <v>1.5926069000000003</v>
      </c>
      <c r="G14" s="9">
        <f t="shared" si="3"/>
        <v>1.0464059000000001</v>
      </c>
      <c r="H14" s="9">
        <f t="shared" si="3"/>
        <v>1.1556461000000002</v>
      </c>
      <c r="I14" s="9">
        <f t="shared" si="3"/>
        <v>2.0295677000000003</v>
      </c>
      <c r="J14" s="9">
        <f t="shared" si="3"/>
        <v>1.1010260000000001</v>
      </c>
      <c r="K14" s="9">
        <f t="shared" si="3"/>
        <v>1.647227</v>
      </c>
      <c r="L14" s="9">
        <f>SUM(B14:K14)</f>
        <v>14.724426800000003</v>
      </c>
      <c r="M14" s="2"/>
      <c r="N14" s="2"/>
      <c r="O14" s="10"/>
      <c r="P14" s="10"/>
      <c r="Q14" s="2"/>
      <c r="R14" s="2"/>
      <c r="S14" s="2"/>
      <c r="T14" s="2"/>
      <c r="U14" s="2"/>
      <c r="V14" s="2"/>
    </row>
    <row r="15" spans="1:22" x14ac:dyDescent="0.25">
      <c r="A15" s="9" t="s">
        <v>22</v>
      </c>
      <c r="B15" s="9">
        <f>SQRT($B$11-2)</f>
        <v>2.8284271247461903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10"/>
      <c r="P15" s="10"/>
      <c r="Q15" s="2"/>
      <c r="R15" s="2"/>
      <c r="S15" s="2"/>
      <c r="T15" s="2"/>
      <c r="U15" s="2"/>
      <c r="V15" s="2"/>
    </row>
    <row r="16" spans="1:22" x14ac:dyDescent="0.25">
      <c r="A16" s="9" t="s">
        <v>23</v>
      </c>
      <c r="B16" s="9">
        <f>SQRT(1-$B$10*$B$10)</f>
        <v>0.783539366426656</v>
      </c>
      <c r="C16" s="2"/>
      <c r="D16" s="9" t="s">
        <v>65</v>
      </c>
      <c r="E16" s="9"/>
      <c r="F16" s="9"/>
      <c r="G16" s="9"/>
      <c r="H16" s="9"/>
      <c r="I16" s="9"/>
      <c r="J16" s="9"/>
      <c r="K16" s="9"/>
      <c r="L16" s="2"/>
      <c r="M16" s="2"/>
      <c r="N16" s="2"/>
      <c r="O16" s="10"/>
      <c r="P16" s="10"/>
      <c r="Q16" s="2"/>
      <c r="R16" s="2"/>
      <c r="S16" s="2"/>
      <c r="T16" s="2"/>
      <c r="U16" s="2"/>
      <c r="V16" s="2"/>
    </row>
    <row r="17" spans="1:22" x14ac:dyDescent="0.25">
      <c r="A17" s="9" t="s">
        <v>62</v>
      </c>
      <c r="B17" s="9">
        <f>ABS(($B$9/B16)*B15)</f>
        <v>2.242926204107853</v>
      </c>
      <c r="C17" s="2"/>
      <c r="D17" s="9" t="s">
        <v>61</v>
      </c>
      <c r="E17" s="9"/>
      <c r="F17" s="9"/>
      <c r="G17" s="9"/>
      <c r="H17" s="9"/>
      <c r="I17" s="9"/>
      <c r="J17" s="2"/>
      <c r="K17" s="2"/>
      <c r="L17" s="2"/>
      <c r="M17" s="2"/>
      <c r="N17" s="2"/>
      <c r="O17" s="10"/>
      <c r="P17" s="10"/>
      <c r="Q17" s="2"/>
      <c r="R17" s="2"/>
      <c r="S17" s="2"/>
      <c r="T17" s="2"/>
      <c r="U17" s="2"/>
      <c r="V17" s="2"/>
    </row>
    <row r="18" spans="1:22" x14ac:dyDescent="0.25">
      <c r="A18" s="9" t="s">
        <v>24</v>
      </c>
      <c r="B18" s="9">
        <f>$B$11-2</f>
        <v>8</v>
      </c>
      <c r="C18" s="2"/>
      <c r="D18" s="2"/>
      <c r="E18" s="2"/>
      <c r="F18" s="10"/>
      <c r="G18" s="2"/>
      <c r="H18" s="2"/>
      <c r="I18" s="2"/>
      <c r="J18" s="2"/>
      <c r="K18" s="2"/>
      <c r="L18" s="2"/>
      <c r="M18" s="2"/>
      <c r="N18" s="2"/>
      <c r="O18" s="10"/>
      <c r="P18" s="10"/>
      <c r="Q18" s="2"/>
      <c r="R18" s="2"/>
      <c r="S18" s="2"/>
      <c r="T18" s="2"/>
      <c r="U18" s="2"/>
      <c r="V18" s="2"/>
    </row>
    <row r="19" spans="1:22" x14ac:dyDescent="0.25">
      <c r="A19" s="9" t="s">
        <v>25</v>
      </c>
      <c r="B19" s="9">
        <f>0.05/2</f>
        <v>2.5000000000000001E-2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0"/>
      <c r="O19" s="10"/>
      <c r="P19" s="10"/>
      <c r="Q19" s="2"/>
      <c r="R19" s="2"/>
      <c r="S19" s="2"/>
      <c r="T19" s="2"/>
      <c r="U19" s="2"/>
      <c r="V19" s="2"/>
    </row>
    <row r="20" spans="1:22" x14ac:dyDescent="0.25">
      <c r="A20" s="14" t="s">
        <v>63</v>
      </c>
      <c r="B20" s="14">
        <f>ABS(_xlfn.T.INV(0.025,8))</f>
        <v>2.3060041352041671</v>
      </c>
      <c r="C20" s="9" t="s">
        <v>56</v>
      </c>
      <c r="D20" s="9"/>
      <c r="E20" s="9"/>
      <c r="F20" s="9"/>
      <c r="G20" s="9"/>
      <c r="H20" s="2"/>
      <c r="I20" s="2"/>
      <c r="J20" s="2"/>
      <c r="K20" s="2"/>
      <c r="L20" s="2"/>
      <c r="M20" s="2"/>
      <c r="N20" s="2"/>
      <c r="O20" s="10"/>
      <c r="P20" s="10"/>
      <c r="Q20" s="2"/>
      <c r="R20" s="2"/>
      <c r="S20" s="2"/>
      <c r="T20" s="2"/>
      <c r="U20" s="2"/>
      <c r="V20" s="2"/>
    </row>
    <row r="21" spans="1:22" x14ac:dyDescent="0.25">
      <c r="A21" s="9" t="s">
        <v>67</v>
      </c>
      <c r="B21" s="14"/>
      <c r="C21" s="14"/>
      <c r="D21" s="14"/>
      <c r="E21" s="14"/>
      <c r="F21" s="14"/>
      <c r="G21" s="14"/>
      <c r="H21" s="14"/>
      <c r="I21" s="14"/>
      <c r="J21" s="9"/>
      <c r="K21" s="2"/>
      <c r="L21" s="2"/>
      <c r="M21" s="2"/>
      <c r="N21" s="2"/>
      <c r="O21" s="2"/>
      <c r="P21" s="13"/>
      <c r="Q21" s="2"/>
      <c r="R21" s="2"/>
      <c r="S21" s="2"/>
      <c r="T21" s="2"/>
      <c r="U21" s="2"/>
      <c r="V21" s="2"/>
    </row>
    <row r="22" spans="1:22" x14ac:dyDescent="0.25">
      <c r="A22" s="3" t="s">
        <v>27</v>
      </c>
      <c r="B22" s="9">
        <f>(B$3-B$14)*(B$3-B$14)</f>
        <v>0.41413446467583948</v>
      </c>
      <c r="C22" s="9">
        <f t="shared" ref="C22:K22" si="4">(C$3-C$14)*(C$3-C$14)</f>
        <v>0.13164872925649004</v>
      </c>
      <c r="D22" s="9">
        <f t="shared" si="4"/>
        <v>0.23008570725624994</v>
      </c>
      <c r="E22" s="9">
        <f t="shared" si="4"/>
        <v>0.13105355697423987</v>
      </c>
      <c r="F22" s="9">
        <f t="shared" si="4"/>
        <v>0.36892637792760991</v>
      </c>
      <c r="G22" s="9">
        <f t="shared" si="4"/>
        <v>2.3591147554809951E-2</v>
      </c>
      <c r="H22" s="9">
        <f t="shared" si="4"/>
        <v>5.9708828445209847E-2</v>
      </c>
      <c r="I22" s="9">
        <f t="shared" si="4"/>
        <v>2.7903440688832895</v>
      </c>
      <c r="J22" s="9">
        <f t="shared" si="4"/>
        <v>2.8865126526759992</v>
      </c>
      <c r="K22" s="9">
        <f t="shared" si="4"/>
        <v>0.12056658952899997</v>
      </c>
      <c r="L22" s="9">
        <f>SUM(B22:K22)</f>
        <v>7.156572123178738</v>
      </c>
      <c r="M22" s="2"/>
      <c r="N22" s="2"/>
      <c r="O22" s="2"/>
      <c r="P22" s="2"/>
      <c r="Q22" s="2"/>
      <c r="R22" s="10"/>
      <c r="S22" s="10"/>
      <c r="T22" s="10"/>
      <c r="U22" s="10"/>
      <c r="V22" s="10"/>
    </row>
    <row r="23" spans="1:22" x14ac:dyDescent="0.25">
      <c r="A23" s="3" t="s">
        <v>26</v>
      </c>
      <c r="B23" s="9">
        <f>0.346566</f>
        <v>0.34656599999999999</v>
      </c>
      <c r="C23" s="9" t="s">
        <v>57</v>
      </c>
      <c r="D23" s="9"/>
      <c r="E23" s="9"/>
      <c r="F23" s="9"/>
      <c r="G23" s="9"/>
      <c r="H23" s="9"/>
      <c r="I23" s="9"/>
      <c r="J23" s="2"/>
      <c r="K23" s="2"/>
      <c r="L23" s="2"/>
      <c r="M23" s="2"/>
      <c r="N23" s="2"/>
      <c r="O23" s="2"/>
      <c r="P23" s="2"/>
      <c r="Q23" s="2"/>
      <c r="R23" s="10"/>
      <c r="S23" s="10"/>
      <c r="T23" s="10"/>
      <c r="U23" s="10"/>
      <c r="V23" s="10"/>
    </row>
    <row r="24" spans="1:22" x14ac:dyDescent="0.25">
      <c r="A24" s="3" t="s">
        <v>28</v>
      </c>
      <c r="B24" s="9">
        <f>0.588698</f>
        <v>0.58869800000000005</v>
      </c>
      <c r="C24" s="17" t="s">
        <v>58</v>
      </c>
      <c r="D24" s="17"/>
      <c r="E24" s="17"/>
      <c r="F24" s="9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10"/>
      <c r="S24" s="10"/>
      <c r="T24" s="10"/>
      <c r="U24" s="10"/>
      <c r="V24" s="10"/>
    </row>
    <row r="25" spans="1:22" x14ac:dyDescent="0.25">
      <c r="A25" s="3" t="s">
        <v>30</v>
      </c>
      <c r="B25" s="9">
        <f>0.243522</f>
        <v>0.24352199999999999</v>
      </c>
      <c r="C25" s="9" t="s">
        <v>60</v>
      </c>
      <c r="D25" s="9"/>
      <c r="E25" s="9"/>
      <c r="F25" s="9"/>
      <c r="G25" s="9"/>
      <c r="H25" s="9"/>
      <c r="I25" s="2"/>
      <c r="J25" s="2"/>
      <c r="K25" s="2"/>
      <c r="L25" s="2"/>
      <c r="M25" s="2"/>
      <c r="N25" s="2"/>
      <c r="O25" s="2"/>
      <c r="P25" s="2"/>
      <c r="Q25" s="2"/>
      <c r="R25" s="10"/>
      <c r="S25" s="10"/>
      <c r="T25" s="10"/>
      <c r="U25" s="10"/>
      <c r="V25" s="10"/>
    </row>
    <row r="26" spans="1:22" x14ac:dyDescent="0.25">
      <c r="A26" s="3" t="s">
        <v>29</v>
      </c>
      <c r="B26" s="9">
        <f>0.535083</f>
        <v>0.53508299999999998</v>
      </c>
      <c r="C26" s="9" t="s">
        <v>59</v>
      </c>
      <c r="D26" s="9"/>
      <c r="E26" s="9"/>
      <c r="F26" s="9"/>
      <c r="G26" s="9"/>
      <c r="H26" s="9"/>
      <c r="I26" s="10"/>
      <c r="J26" s="10"/>
      <c r="K26" s="10"/>
      <c r="L26" s="2"/>
      <c r="M26" s="2"/>
      <c r="N26" s="2"/>
      <c r="O26" s="2"/>
      <c r="P26" s="2"/>
      <c r="Q26" s="2"/>
      <c r="R26" s="10"/>
      <c r="S26" s="10"/>
      <c r="T26" s="10"/>
      <c r="U26" s="10"/>
      <c r="V26" s="10"/>
    </row>
    <row r="27" spans="1:22" x14ac:dyDescent="0.25">
      <c r="A27" s="3" t="s">
        <v>38</v>
      </c>
      <c r="B27" s="9"/>
      <c r="C27" s="14"/>
      <c r="D27" s="14"/>
      <c r="E27" s="14"/>
      <c r="F27" s="10"/>
      <c r="G27" s="10"/>
      <c r="H27" s="10"/>
      <c r="I27" s="10"/>
      <c r="J27" s="2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x14ac:dyDescent="0.25">
      <c r="A28" s="3" t="s">
        <v>39</v>
      </c>
      <c r="B28" s="21">
        <f>$B$9*$B$9</f>
        <v>0.38606606125971449</v>
      </c>
      <c r="C28" s="23">
        <f>B28</f>
        <v>0.38606606125971449</v>
      </c>
      <c r="D28" s="22" t="s">
        <v>66</v>
      </c>
      <c r="E28" s="9"/>
      <c r="F28" s="9"/>
      <c r="G28" s="9"/>
      <c r="H28" s="9"/>
      <c r="I28" s="9"/>
      <c r="J28" s="9"/>
      <c r="K28" s="9"/>
      <c r="L28" s="9"/>
      <c r="M28" s="9"/>
      <c r="N28" s="2"/>
      <c r="O28" s="2"/>
      <c r="P28" s="10"/>
      <c r="Q28" s="10"/>
      <c r="R28" s="10"/>
      <c r="S28" s="10"/>
      <c r="T28" s="10"/>
      <c r="U28" s="10"/>
      <c r="V28" s="10"/>
    </row>
    <row r="29" spans="1:22" x14ac:dyDescent="0.25">
      <c r="A29" s="3" t="s">
        <v>40</v>
      </c>
      <c r="B29" s="18">
        <f>$B$12/$B$25</f>
        <v>2.2783362488810046</v>
      </c>
      <c r="C29" s="17" t="s">
        <v>70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9"/>
      <c r="O29" s="9"/>
      <c r="P29" s="14"/>
      <c r="Q29" s="9"/>
      <c r="R29" s="9"/>
      <c r="S29" s="10"/>
      <c r="T29" s="10"/>
      <c r="U29" s="10"/>
      <c r="V29" s="10"/>
    </row>
    <row r="30" spans="1:22" x14ac:dyDescent="0.25">
      <c r="A30" s="3" t="s">
        <v>41</v>
      </c>
      <c r="B30" s="9">
        <f>ABS($B$13/$B$26)</f>
        <v>1.0207780848952406</v>
      </c>
      <c r="C30" s="9" t="s">
        <v>71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9"/>
      <c r="S30" s="16"/>
      <c r="T30" s="10"/>
      <c r="U30" s="10"/>
      <c r="V30" s="10"/>
    </row>
    <row r="31" spans="1:22" x14ac:dyDescent="0.25">
      <c r="A31" s="3" t="s">
        <v>42</v>
      </c>
      <c r="B31" s="9" t="s">
        <v>43</v>
      </c>
      <c r="C31" s="9" t="str">
        <f>CHAR(170)</f>
        <v>Є</v>
      </c>
      <c r="D31" s="9" t="s">
        <v>44</v>
      </c>
      <c r="E31" s="9">
        <f>-0.0175</f>
        <v>-1.7500000000000002E-2</v>
      </c>
      <c r="F31" s="9" t="s">
        <v>45</v>
      </c>
      <c r="G31" s="9">
        <f>1</f>
        <v>1</v>
      </c>
      <c r="H31" s="9" t="s">
        <v>46</v>
      </c>
      <c r="I31" s="10"/>
      <c r="J31" s="10"/>
      <c r="K31" s="2"/>
      <c r="L31" s="2"/>
      <c r="M31" s="2"/>
      <c r="N31" s="2"/>
      <c r="O31" s="2"/>
      <c r="P31" s="2"/>
      <c r="Q31" s="2"/>
      <c r="R31" s="10"/>
      <c r="S31" s="10"/>
      <c r="T31" s="10"/>
      <c r="U31" s="10"/>
      <c r="V31" s="10"/>
    </row>
    <row r="32" spans="1:22" x14ac:dyDescent="0.25">
      <c r="A32" s="3" t="s">
        <v>49</v>
      </c>
      <c r="B32" s="10"/>
      <c r="C32" s="10"/>
      <c r="D32" s="10"/>
      <c r="E32" s="10"/>
      <c r="F32" s="10"/>
      <c r="G32" s="10"/>
      <c r="H32" s="10"/>
      <c r="I32" s="10"/>
      <c r="J32" s="10"/>
      <c r="K32" s="2"/>
      <c r="L32" s="2"/>
      <c r="M32" s="2"/>
      <c r="N32" s="2"/>
      <c r="O32" s="2"/>
      <c r="P32" s="2"/>
      <c r="Q32" s="2"/>
      <c r="R32" s="10"/>
      <c r="S32" s="10"/>
      <c r="T32" s="10"/>
      <c r="U32" s="10"/>
      <c r="V32" s="10"/>
    </row>
    <row r="33" spans="1:22" x14ac:dyDescent="0.25">
      <c r="A33" s="3" t="s">
        <v>47</v>
      </c>
      <c r="B33" s="9" t="s">
        <v>50</v>
      </c>
      <c r="C33" s="9">
        <f>$B$12-$B$20*$B$25</f>
        <v>-6.7377390131891923E-3</v>
      </c>
      <c r="D33" s="9" t="s">
        <v>51</v>
      </c>
      <c r="E33" s="9">
        <f>$B$12+$B$20*$B$25</f>
        <v>1.1163877390131893</v>
      </c>
      <c r="F33" s="10"/>
      <c r="G33" s="10"/>
      <c r="H33" s="10"/>
      <c r="I33" s="10"/>
      <c r="J33" s="10"/>
      <c r="K33" s="2"/>
      <c r="L33" s="2"/>
      <c r="M33" s="2"/>
      <c r="N33" s="2"/>
      <c r="O33" s="2"/>
      <c r="P33" s="2"/>
      <c r="Q33" s="2"/>
      <c r="R33" s="10"/>
      <c r="S33" s="10"/>
      <c r="T33" s="10"/>
      <c r="U33" s="10"/>
      <c r="V33" s="10"/>
    </row>
    <row r="34" spans="1:22" x14ac:dyDescent="0.25">
      <c r="A34" s="4" t="s">
        <v>48</v>
      </c>
      <c r="B34" s="14" t="s">
        <v>50</v>
      </c>
      <c r="C34" s="14">
        <f>$B$13-$B$20*$B$26</f>
        <v>-0.6877026106774512</v>
      </c>
      <c r="D34" s="14" t="s">
        <v>51</v>
      </c>
      <c r="E34" s="14">
        <f>$B$13+$B$20*$B$26</f>
        <v>1.7801046106774514</v>
      </c>
      <c r="F34" s="10"/>
      <c r="G34" s="10"/>
      <c r="H34" s="10"/>
      <c r="I34" s="10"/>
      <c r="J34" s="10"/>
      <c r="K34" s="2"/>
      <c r="L34" s="2"/>
      <c r="M34" s="2"/>
      <c r="N34" s="2"/>
      <c r="O34" s="2"/>
      <c r="P34" s="2"/>
      <c r="Q34" s="2"/>
      <c r="R34" s="10"/>
      <c r="S34" s="10"/>
      <c r="T34" s="10"/>
      <c r="U34" s="10"/>
      <c r="V34" s="10"/>
    </row>
    <row r="35" spans="1:22" x14ac:dyDescent="0.25">
      <c r="A35" s="5"/>
      <c r="B35" s="15"/>
      <c r="C35" s="15"/>
      <c r="D35" s="15"/>
      <c r="E35" s="1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10"/>
      <c r="S35" s="10"/>
      <c r="T35" s="10"/>
      <c r="U35" s="10"/>
      <c r="V35" s="10"/>
    </row>
    <row r="36" spans="1:22" x14ac:dyDescent="0.25">
      <c r="A36" s="3" t="s">
        <v>52</v>
      </c>
      <c r="B36" s="12">
        <f>0.62</f>
        <v>0.62</v>
      </c>
      <c r="C36" s="9" t="s">
        <v>64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  <c r="U36" s="10"/>
      <c r="V36" s="10"/>
    </row>
    <row r="37" spans="1:22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mergeCells count="2">
    <mergeCell ref="A1:K1"/>
    <mergeCell ref="A5:K5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Поле корелляции</vt:lpstr>
      <vt:lpstr>Главный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Третьяков</dc:creator>
  <cp:lastModifiedBy>TheTDRA Rong</cp:lastModifiedBy>
  <dcterms:created xsi:type="dcterms:W3CDTF">2020-04-29T19:57:10Z</dcterms:created>
  <dcterms:modified xsi:type="dcterms:W3CDTF">2020-05-24T12:03:51Z</dcterms:modified>
</cp:coreProperties>
</file>