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autoCompressPictures="0"/>
  <xr:revisionPtr revIDLastSave="608" documentId="8_{54ADA78A-11A0-461F-BC25-161523C1D30B}" xr6:coauthVersionLast="47" xr6:coauthVersionMax="47" xr10:uidLastSave="{8784BCDB-BD69-496F-BE3A-17760C4BA13B}"/>
  <bookViews>
    <workbookView xWindow="732" yWindow="732" windowWidth="21600" windowHeight="11100" xr2:uid="{00000000-000D-0000-FFFF-FFFF00000000}"/>
  </bookViews>
  <sheets>
    <sheet name="Devis" sheetId="5" r:id="rId1"/>
    <sheet name="Benchmark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5" l="1"/>
  <c r="C50" i="5"/>
  <c r="C42" i="5"/>
  <c r="C34" i="5"/>
  <c r="G34" i="5" s="1"/>
  <c r="C25" i="5"/>
  <c r="D42" i="5"/>
  <c r="E42" i="5"/>
  <c r="F42" i="5"/>
  <c r="G42" i="5"/>
  <c r="H42" i="5"/>
  <c r="I42" i="5"/>
  <c r="I50" i="5"/>
  <c r="H50" i="5"/>
  <c r="G50" i="5"/>
  <c r="F50" i="5"/>
  <c r="E50" i="5"/>
  <c r="D50" i="5"/>
  <c r="E34" i="5"/>
  <c r="F34" i="5"/>
  <c r="E25" i="5"/>
  <c r="F25" i="5"/>
  <c r="G25" i="5"/>
  <c r="H25" i="5"/>
  <c r="I25" i="5"/>
  <c r="D25" i="5"/>
  <c r="B12" i="6"/>
  <c r="C12" i="6" s="1"/>
  <c r="I5" i="5"/>
  <c r="B11" i="6"/>
  <c r="C11" i="6" s="1"/>
  <c r="J13" i="5"/>
  <c r="F5" i="5"/>
  <c r="E5" i="5"/>
  <c r="G5" i="5"/>
  <c r="H5" i="5"/>
  <c r="D5" i="5"/>
  <c r="K37" i="5" l="1"/>
  <c r="D34" i="5"/>
  <c r="D9" i="5" s="1"/>
  <c r="D13" i="5" s="1"/>
  <c r="I34" i="5"/>
  <c r="H34" i="5"/>
  <c r="K34" i="5" s="1"/>
  <c r="K42" i="5"/>
  <c r="K21" i="5"/>
  <c r="K40" i="5"/>
  <c r="K39" i="5"/>
  <c r="K41" i="5"/>
  <c r="K38" i="5"/>
  <c r="K22" i="5"/>
  <c r="E9" i="5"/>
  <c r="E13" i="5" s="1"/>
  <c r="E14" i="5" s="1"/>
  <c r="K19" i="5"/>
  <c r="B17" i="6"/>
  <c r="B16" i="6"/>
  <c r="J14" i="5"/>
  <c r="K53" i="5"/>
  <c r="K55" i="5"/>
  <c r="K33" i="5"/>
  <c r="K45" i="5"/>
  <c r="K54" i="5"/>
  <c r="K50" i="5"/>
  <c r="K57" i="5"/>
  <c r="K46" i="5"/>
  <c r="K29" i="5"/>
  <c r="K47" i="5"/>
  <c r="K30" i="5"/>
  <c r="K48" i="5"/>
  <c r="K58" i="5"/>
  <c r="K56" i="5"/>
  <c r="K31" i="5"/>
  <c r="K49" i="5"/>
  <c r="K32" i="5"/>
  <c r="K23" i="5"/>
  <c r="K24" i="5"/>
  <c r="K20" i="5"/>
  <c r="K26" i="5"/>
  <c r="L36" i="5" l="1"/>
  <c r="M36" i="5" s="1"/>
  <c r="D11" i="5"/>
  <c r="E11" i="5"/>
  <c r="F9" i="5"/>
  <c r="D14" i="5"/>
  <c r="L52" i="5"/>
  <c r="M52" i="5" s="1"/>
  <c r="L44" i="5"/>
  <c r="M44" i="5" s="1"/>
  <c r="L28" i="5"/>
  <c r="M28" i="5" s="1"/>
  <c r="F11" i="5" l="1"/>
  <c r="F13" i="5"/>
  <c r="G9" i="5"/>
  <c r="G11" i="5" l="1"/>
  <c r="G13" i="5"/>
  <c r="G14" i="5" s="1"/>
  <c r="H9" i="5"/>
  <c r="F14" i="5"/>
  <c r="H11" i="5" l="1"/>
  <c r="H13" i="5"/>
  <c r="I9" i="5"/>
  <c r="K25" i="5"/>
  <c r="L18" i="5" s="1"/>
  <c r="M18" i="5" s="1"/>
  <c r="I11" i="5" l="1"/>
  <c r="I13" i="5"/>
  <c r="I14" i="5" s="1"/>
  <c r="M9" i="5"/>
  <c r="H14" i="5"/>
  <c r="L13" i="5" l="1"/>
  <c r="L14" i="5" s="1"/>
  <c r="M13" i="5" l="1"/>
  <c r="N52" i="5" l="1"/>
  <c r="N36" i="5"/>
  <c r="M14" i="5"/>
  <c r="N18" i="5"/>
  <c r="M3" i="5"/>
  <c r="N44" i="5"/>
  <c r="N28" i="5"/>
</calcChain>
</file>

<file path=xl/sharedStrings.xml><?xml version="1.0" encoding="utf-8"?>
<sst xmlns="http://schemas.openxmlformats.org/spreadsheetml/2006/main" count="86" uniqueCount="69">
  <si>
    <t>Activité</t>
  </si>
  <si>
    <t>Détail</t>
  </si>
  <si>
    <t>Frais</t>
  </si>
  <si>
    <t>Total jours</t>
  </si>
  <si>
    <t>% total</t>
  </si>
  <si>
    <t xml:space="preserve"> </t>
  </si>
  <si>
    <t>Charge hebdomadaire</t>
  </si>
  <si>
    <t>Durée estimée du projet (semaines)</t>
  </si>
  <si>
    <t>Commission plateforme</t>
  </si>
  <si>
    <t>Total Gjoa</t>
  </si>
  <si>
    <t>Remise taux</t>
  </si>
  <si>
    <t>Pilotage</t>
  </si>
  <si>
    <t>Restitution</t>
  </si>
  <si>
    <t>Kick-off</t>
  </si>
  <si>
    <t>Réunions de pilotage</t>
  </si>
  <si>
    <t>Cadrage</t>
  </si>
  <si>
    <t>Mgr</t>
  </si>
  <si>
    <t>Partner</t>
  </si>
  <si>
    <t>Taux remisés</t>
  </si>
  <si>
    <t>Eco</t>
  </si>
  <si>
    <t>Total arrondi</t>
  </si>
  <si>
    <t>Point hebdos</t>
  </si>
  <si>
    <t>Modèle de devis Gjoa Stratégie - Fev 2024</t>
  </si>
  <si>
    <t>Total ligne</t>
  </si>
  <si>
    <t>Total lot</t>
  </si>
  <si>
    <t>Total Client (dont apport d'affaire)</t>
  </si>
  <si>
    <t>Taux standards 2023 (pour mémoire)</t>
  </si>
  <si>
    <t>Desk research</t>
  </si>
  <si>
    <t>Cslt Sr</t>
  </si>
  <si>
    <t>Cslt Jr</t>
  </si>
  <si>
    <t>Cslt conf</t>
  </si>
  <si>
    <t>Taux moyen -&gt;</t>
  </si>
  <si>
    <t>Classiquement 10 à 15% (OMS à 25%)</t>
  </si>
  <si>
    <t>PME, startup, associations : 10 à 20%</t>
  </si>
  <si>
    <t>y = 0,0105x-0,459</t>
  </si>
  <si>
    <t>CA</t>
  </si>
  <si>
    <t>EBITDA</t>
  </si>
  <si>
    <t>Formules</t>
  </si>
  <si>
    <t>CA (en M€)</t>
  </si>
  <si>
    <t>EBITDA (en M€)</t>
  </si>
  <si>
    <t>KPIs société cible</t>
  </si>
  <si>
    <t xml:space="preserve">Budget </t>
  </si>
  <si>
    <t>Fourchette basse</t>
  </si>
  <si>
    <t>Fourchette haute</t>
  </si>
  <si>
    <t>a</t>
  </si>
  <si>
    <t>n</t>
  </si>
  <si>
    <t>y = 0,0256x-0,491</t>
  </si>
  <si>
    <t>En %</t>
  </si>
  <si>
    <t>En €</t>
  </si>
  <si>
    <t>En M€</t>
  </si>
  <si>
    <t>Marge de manœuvre</t>
  </si>
  <si>
    <t>Ne pas modifier ces lignes</t>
  </si>
  <si>
    <t>Benchmark</t>
  </si>
  <si>
    <t>Taux standards 2025 S1</t>
  </si>
  <si>
    <t>Lot 1 : Tendances de marché</t>
  </si>
  <si>
    <t>Evolution des moyens financiers alloués aux prémats</t>
  </si>
  <si>
    <t>Evolution des besoins des hôpitaux sur l'expertise prémat</t>
  </si>
  <si>
    <t>Synthèse</t>
  </si>
  <si>
    <t>Entretiens experts</t>
  </si>
  <si>
    <t>Entretiens clients</t>
  </si>
  <si>
    <t>8-10 entretiens</t>
  </si>
  <si>
    <t>Gestion de projet</t>
  </si>
  <si>
    <t>Concurrents FR</t>
  </si>
  <si>
    <t>Lot 3 : Concurrence européenne</t>
  </si>
  <si>
    <t>Ciblage pays pertinents</t>
  </si>
  <si>
    <t>(prix : par opportunités, sur les entretiens clients)</t>
  </si>
  <si>
    <t>Lot 3 : Concurrence européenne - compléments</t>
  </si>
  <si>
    <t>Données concurrence</t>
  </si>
  <si>
    <t>Lot 2 : Miroirs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</si>
</sst>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0.0"/>
    <numFmt numFmtId="166" formatCode="0.0%"/>
    <numFmt numFmtId="167" formatCode="#,##0\ [$€-1];[Red]\-#,##0\ [$€-1]"/>
    <numFmt numFmtId="168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2"/>
      <color theme="1"/>
      <name val="Calibri"/>
      <family val="2"/>
      <scheme val="minor"/>
    </font>
    <font>
      <b/>
      <sz val="4"/>
      <color theme="0"/>
      <name val="Calibri"/>
      <family val="2"/>
      <scheme val="minor"/>
    </font>
    <font>
      <b/>
      <i/>
      <sz val="4"/>
      <color theme="0"/>
      <name val="Calibri"/>
      <family val="2"/>
      <scheme val="minor"/>
    </font>
    <font>
      <b/>
      <sz val="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0"/>
      <color theme="6"/>
      <name val="Calibri"/>
      <family val="2"/>
      <scheme val="minor"/>
    </font>
    <font>
      <i/>
      <sz val="10"/>
      <color theme="6"/>
      <name val="Calibri"/>
      <family val="2"/>
      <scheme val="minor"/>
    </font>
    <font>
      <i/>
      <sz val="9"/>
      <color theme="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9" fontId="0" fillId="0" borderId="0" xfId="2" applyFont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164" fontId="0" fillId="8" borderId="0" xfId="1" applyNumberFormat="1" applyFont="1" applyFill="1" applyAlignment="1">
      <alignment vertical="center"/>
    </xf>
    <xf numFmtId="164" fontId="2" fillId="8" borderId="0" xfId="0" applyNumberFormat="1" applyFont="1" applyFill="1" applyAlignment="1">
      <alignment vertical="center"/>
    </xf>
    <xf numFmtId="9" fontId="0" fillId="8" borderId="0" xfId="2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5" fontId="10" fillId="0" borderId="0" xfId="0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2" fillId="4" borderId="0" xfId="0" applyFont="1" applyFill="1" applyAlignment="1">
      <alignment vertical="center"/>
    </xf>
    <xf numFmtId="2" fontId="2" fillId="4" borderId="0" xfId="0" applyNumberFormat="1" applyFont="1" applyFill="1" applyAlignment="1">
      <alignment vertical="center"/>
    </xf>
    <xf numFmtId="9" fontId="0" fillId="4" borderId="0" xfId="2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4" fontId="5" fillId="9" borderId="0" xfId="0" applyNumberFormat="1" applyFont="1" applyFill="1" applyAlignment="1">
      <alignment vertical="center"/>
    </xf>
    <xf numFmtId="164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165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67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44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right" vertical="center"/>
    </xf>
    <xf numFmtId="9" fontId="10" fillId="0" borderId="0" xfId="0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0" fontId="15" fillId="5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15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164" fontId="17" fillId="5" borderId="0" xfId="0" applyNumberFormat="1" applyFont="1" applyFill="1" applyAlignment="1">
      <alignment vertical="center"/>
    </xf>
    <xf numFmtId="2" fontId="18" fillId="4" borderId="0" xfId="0" applyNumberFormat="1" applyFont="1" applyFill="1" applyAlignment="1">
      <alignment vertical="center"/>
    </xf>
    <xf numFmtId="0" fontId="17" fillId="5" borderId="0" xfId="0" applyFont="1" applyFill="1" applyAlignment="1">
      <alignment vertical="center"/>
    </xf>
    <xf numFmtId="164" fontId="18" fillId="5" borderId="0" xfId="0" applyNumberFormat="1" applyFont="1" applyFill="1" applyAlignment="1">
      <alignment vertical="center"/>
    </xf>
    <xf numFmtId="164" fontId="18" fillId="5" borderId="0" xfId="0" applyNumberFormat="1" applyFont="1" applyFill="1" applyAlignment="1">
      <alignment horizontal="right" vertical="center"/>
    </xf>
    <xf numFmtId="2" fontId="10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167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5" fillId="11" borderId="0" xfId="0" applyFont="1" applyFill="1" applyAlignment="1">
      <alignment horizontal="centerContinuous"/>
    </xf>
    <xf numFmtId="0" fontId="6" fillId="11" borderId="0" xfId="0" applyFont="1" applyFill="1" applyAlignment="1">
      <alignment horizontal="centerContinuous"/>
    </xf>
    <xf numFmtId="0" fontId="2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9" fontId="0" fillId="10" borderId="0" xfId="0" applyNumberFormat="1" applyFill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168" fontId="0" fillId="10" borderId="0" xfId="0" applyNumberFormat="1" applyFill="1" applyAlignment="1">
      <alignment horizontal="center"/>
    </xf>
    <xf numFmtId="44" fontId="8" fillId="0" borderId="0" xfId="0" applyNumberFormat="1" applyFont="1" applyAlignment="1">
      <alignment vertical="center"/>
    </xf>
    <xf numFmtId="44" fontId="0" fillId="0" borderId="0" xfId="0" applyNumberFormat="1" applyAlignment="1">
      <alignment vertical="center"/>
    </xf>
    <xf numFmtId="9" fontId="7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Gjoa Stratégie">
      <a:dk1>
        <a:srgbClr val="424242"/>
      </a:dk1>
      <a:lt1>
        <a:sysClr val="window" lastClr="FFFFFF"/>
      </a:lt1>
      <a:dk2>
        <a:srgbClr val="105672"/>
      </a:dk2>
      <a:lt2>
        <a:srgbClr val="FFFFFF"/>
      </a:lt2>
      <a:accent1>
        <a:srgbClr val="105672"/>
      </a:accent1>
      <a:accent2>
        <a:srgbClr val="33938F"/>
      </a:accent2>
      <a:accent3>
        <a:srgbClr val="848484"/>
      </a:accent3>
      <a:accent4>
        <a:srgbClr val="95B1AF"/>
      </a:accent4>
      <a:accent5>
        <a:srgbClr val="C8B6A3"/>
      </a:accent5>
      <a:accent6>
        <a:srgbClr val="643444"/>
      </a:accent6>
      <a:hlink>
        <a:srgbClr val="33938F"/>
      </a:hlink>
      <a:folHlink>
        <a:srgbClr val="74CECB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C071-04B4-4630-8514-362BBEBBA035}">
  <sheetPr>
    <outlinePr summaryBelow="0" summaryRight="0"/>
  </sheetPr>
  <dimension ref="A1:N72"/>
  <sheetViews>
    <sheetView tabSelected="1" zoomScaleNormal="100" zoomScaleSheetLayoutView="70" zoomScalePageLayoutView="80" workbookViewId="0">
      <pane xSplit="3" ySplit="16" topLeftCell="D20" activePane="bottomRight" state="frozen"/>
      <selection pane="topRight" activeCell="D1" sqref="D1"/>
      <selection pane="bottomLeft" activeCell="A4" sqref="A4"/>
      <selection pane="bottomRight" activeCell="I3" sqref="I3"/>
    </sheetView>
  </sheetViews>
  <sheetFormatPr baseColWidth="10" defaultColWidth="8.88671875" defaultRowHeight="14.4" outlineLevelRow="2" outlineLevelCol="1" x14ac:dyDescent="0.3"/>
  <cols>
    <col min="1" max="1" width="6.5546875" style="4" customWidth="1"/>
    <col min="2" max="2" width="26.5546875" style="3" customWidth="1"/>
    <col min="3" max="3" width="41.109375" style="15" customWidth="1" outlineLevel="1"/>
    <col min="4" max="9" width="11" style="1" customWidth="1" outlineLevel="1"/>
    <col min="10" max="10" width="10.88671875" style="1" customWidth="1" outlineLevel="1"/>
    <col min="11" max="11" width="12.88671875" style="1" customWidth="1"/>
    <col min="12" max="13" width="12.88671875" style="1" bestFit="1" customWidth="1"/>
    <col min="14" max="14" width="11.88671875" style="1" bestFit="1" customWidth="1"/>
    <col min="15" max="16384" width="8.88671875" style="1"/>
  </cols>
  <sheetData>
    <row r="1" spans="1:14" s="16" customFormat="1" ht="12" x14ac:dyDescent="0.3">
      <c r="A1" s="14" t="s">
        <v>22</v>
      </c>
      <c r="B1" s="15"/>
      <c r="C1" s="91">
        <v>0.15</v>
      </c>
      <c r="D1" s="88"/>
      <c r="E1" s="88"/>
      <c r="F1" s="88"/>
      <c r="G1" s="88"/>
      <c r="H1" s="88"/>
      <c r="I1" s="88"/>
    </row>
    <row r="2" spans="1:14" s="5" customFormat="1" ht="4.2" x14ac:dyDescent="0.3">
      <c r="A2" s="8"/>
      <c r="B2" s="6"/>
      <c r="C2" s="6"/>
    </row>
    <row r="3" spans="1:14" collapsed="1" x14ac:dyDescent="0.3">
      <c r="A3" s="34" t="s">
        <v>53</v>
      </c>
      <c r="B3" s="35"/>
      <c r="C3" s="56"/>
      <c r="D3" s="61">
        <v>2500</v>
      </c>
      <c r="E3" s="61">
        <v>1940</v>
      </c>
      <c r="F3" s="61">
        <v>1720</v>
      </c>
      <c r="G3" s="61">
        <v>1550</v>
      </c>
      <c r="H3" s="61">
        <v>1190</v>
      </c>
      <c r="I3" s="61">
        <f>E3</f>
        <v>1940</v>
      </c>
      <c r="J3" s="37"/>
      <c r="K3" s="38"/>
      <c r="L3" s="65" t="s">
        <v>31</v>
      </c>
      <c r="M3" s="36">
        <f>M13/M9</f>
        <v>1761.3320999074931</v>
      </c>
      <c r="N3" s="38"/>
    </row>
    <row r="4" spans="1:14" s="72" customFormat="1" ht="13.8" hidden="1" outlineLevel="2" x14ac:dyDescent="0.3">
      <c r="A4" s="68" t="s">
        <v>26</v>
      </c>
      <c r="B4" s="69"/>
      <c r="C4" s="70"/>
      <c r="D4" s="71">
        <v>2200</v>
      </c>
      <c r="E4" s="71">
        <v>1750</v>
      </c>
      <c r="F4" s="71">
        <v>1450</v>
      </c>
      <c r="G4" s="71">
        <v>1450</v>
      </c>
      <c r="H4" s="71">
        <v>1100</v>
      </c>
      <c r="I4" s="71">
        <v>1750</v>
      </c>
    </row>
    <row r="5" spans="1:14" s="27" customFormat="1" ht="13.8" hidden="1" outlineLevel="1" x14ac:dyDescent="0.3">
      <c r="A5" s="48" t="s">
        <v>18</v>
      </c>
      <c r="B5" s="23"/>
      <c r="C5" s="44"/>
      <c r="D5" s="49">
        <f t="shared" ref="D5:I5" si="0">D3*(1-$D$6)</f>
        <v>2500</v>
      </c>
      <c r="E5" s="49">
        <f t="shared" si="0"/>
        <v>1940</v>
      </c>
      <c r="F5" s="49">
        <f t="shared" si="0"/>
        <v>1720</v>
      </c>
      <c r="G5" s="49">
        <f t="shared" si="0"/>
        <v>1550</v>
      </c>
      <c r="H5" s="49">
        <f t="shared" si="0"/>
        <v>1190</v>
      </c>
      <c r="I5" s="49">
        <f t="shared" si="0"/>
        <v>1940</v>
      </c>
      <c r="J5" s="50"/>
      <c r="K5" s="26"/>
      <c r="L5" s="51"/>
      <c r="M5" s="51" t="s">
        <v>5</v>
      </c>
      <c r="N5" s="52"/>
    </row>
    <row r="6" spans="1:14" s="27" customFormat="1" ht="13.8" hidden="1" outlineLevel="1" x14ac:dyDescent="0.3">
      <c r="A6" s="22" t="s">
        <v>10</v>
      </c>
      <c r="C6" s="44" t="s">
        <v>33</v>
      </c>
      <c r="D6" s="53">
        <v>0</v>
      </c>
      <c r="M6" s="51"/>
    </row>
    <row r="7" spans="1:14" s="27" customFormat="1" ht="13.8" hidden="1" outlineLevel="1" x14ac:dyDescent="0.3">
      <c r="A7" s="22" t="s">
        <v>8</v>
      </c>
      <c r="C7" s="44" t="s">
        <v>32</v>
      </c>
      <c r="D7" s="54">
        <v>0</v>
      </c>
      <c r="M7" s="51"/>
    </row>
    <row r="8" spans="1:14" s="8" customFormat="1" ht="4.2" hidden="1" outlineLevel="1" x14ac:dyDescent="0.3">
      <c r="C8" s="39"/>
      <c r="D8" s="40"/>
      <c r="E8" s="40"/>
      <c r="F8" s="40"/>
      <c r="G8" s="40"/>
      <c r="H8" s="40"/>
      <c r="I8" s="40"/>
      <c r="J8" s="41"/>
      <c r="K8" s="30"/>
      <c r="L8" s="30"/>
      <c r="M8" s="30"/>
    </row>
    <row r="9" spans="1:14" s="4" customFormat="1" collapsed="1" x14ac:dyDescent="0.3">
      <c r="A9" s="31" t="s">
        <v>3</v>
      </c>
      <c r="B9" s="31"/>
      <c r="C9" s="57"/>
      <c r="D9" s="62">
        <f>SUM(D19:D60)</f>
        <v>2.0124999999999997</v>
      </c>
      <c r="E9" s="62">
        <f>SUM(E18:E56)</f>
        <v>7.1875</v>
      </c>
      <c r="F9" s="62">
        <f>SUM(F19:F56)</f>
        <v>0</v>
      </c>
      <c r="G9" s="62">
        <f>SUM(G19:G56)</f>
        <v>21.5625</v>
      </c>
      <c r="H9" s="62">
        <f>SUM(H19:H56)</f>
        <v>0</v>
      </c>
      <c r="I9" s="62">
        <f>SUM(I19:I56)</f>
        <v>9.7750000000000004</v>
      </c>
      <c r="J9" s="62"/>
      <c r="K9" s="32"/>
      <c r="L9" s="32"/>
      <c r="M9" s="32">
        <f>SUM(D9:I9)</f>
        <v>40.537500000000001</v>
      </c>
      <c r="N9" s="33"/>
    </row>
    <row r="10" spans="1:14" s="27" customFormat="1" ht="13.8" hidden="1" outlineLevel="1" x14ac:dyDescent="0.3">
      <c r="A10" s="22" t="s">
        <v>7</v>
      </c>
      <c r="C10" s="44"/>
      <c r="D10" s="24">
        <v>1.5</v>
      </c>
      <c r="M10" s="51"/>
    </row>
    <row r="11" spans="1:14" s="22" customFormat="1" ht="13.8" hidden="1" outlineLevel="1" x14ac:dyDescent="0.3">
      <c r="A11" s="22" t="s">
        <v>6</v>
      </c>
      <c r="B11" s="27"/>
      <c r="C11" s="58"/>
      <c r="D11" s="24">
        <f t="shared" ref="D11:I11" si="1">D9/$D$10</f>
        <v>1.3416666666666666</v>
      </c>
      <c r="E11" s="24">
        <f t="shared" si="1"/>
        <v>4.791666666666667</v>
      </c>
      <c r="F11" s="24">
        <f t="shared" si="1"/>
        <v>0</v>
      </c>
      <c r="G11" s="24">
        <f t="shared" si="1"/>
        <v>14.375</v>
      </c>
      <c r="H11" s="24">
        <f t="shared" si="1"/>
        <v>0</v>
      </c>
      <c r="I11" s="24">
        <f t="shared" si="1"/>
        <v>6.5166666666666666</v>
      </c>
      <c r="J11" s="55"/>
      <c r="K11" s="26"/>
      <c r="L11" s="26"/>
      <c r="M11" s="26"/>
    </row>
    <row r="12" spans="1:14" s="8" customFormat="1" ht="4.2" hidden="1" outlineLevel="1" x14ac:dyDescent="0.3">
      <c r="B12" s="5"/>
      <c r="C12" s="60"/>
      <c r="D12" s="28"/>
      <c r="E12" s="28"/>
      <c r="F12" s="28"/>
      <c r="G12" s="28"/>
      <c r="H12" s="28"/>
      <c r="I12" s="28"/>
      <c r="J12" s="41"/>
      <c r="K12" s="30"/>
      <c r="L12" s="30"/>
      <c r="M12" s="30"/>
    </row>
    <row r="13" spans="1:14" collapsed="1" x14ac:dyDescent="0.3">
      <c r="A13" s="34" t="s">
        <v>25</v>
      </c>
      <c r="B13" s="35"/>
      <c r="C13" s="56"/>
      <c r="D13" s="61">
        <f t="shared" ref="D13:I13" si="2">D9*D5</f>
        <v>5031.2499999999991</v>
      </c>
      <c r="E13" s="61">
        <f t="shared" si="2"/>
        <v>13943.75</v>
      </c>
      <c r="F13" s="61">
        <f t="shared" si="2"/>
        <v>0</v>
      </c>
      <c r="G13" s="61">
        <f t="shared" si="2"/>
        <v>33421.875</v>
      </c>
      <c r="H13" s="61">
        <f t="shared" si="2"/>
        <v>0</v>
      </c>
      <c r="I13" s="61">
        <f t="shared" si="2"/>
        <v>18963.5</v>
      </c>
      <c r="J13" s="61">
        <f>SUM(J19:J56)</f>
        <v>0</v>
      </c>
      <c r="K13" s="63"/>
      <c r="L13" s="64">
        <f>SUM(D13:J13)</f>
        <v>71360.375</v>
      </c>
      <c r="M13" s="36">
        <f>ROUND(L13/100,0)*100</f>
        <v>71400</v>
      </c>
      <c r="N13" s="38"/>
    </row>
    <row r="14" spans="1:14" hidden="1" outlineLevel="1" x14ac:dyDescent="0.3">
      <c r="A14" s="34" t="s">
        <v>9</v>
      </c>
      <c r="B14" s="35"/>
      <c r="C14" s="56"/>
      <c r="D14" s="61">
        <f t="shared" ref="D14:I14" si="3">D13*(1-$D7)</f>
        <v>5031.2499999999991</v>
      </c>
      <c r="E14" s="61">
        <f t="shared" si="3"/>
        <v>13943.75</v>
      </c>
      <c r="F14" s="61">
        <f t="shared" si="3"/>
        <v>0</v>
      </c>
      <c r="G14" s="61">
        <f t="shared" si="3"/>
        <v>33421.875</v>
      </c>
      <c r="H14" s="61">
        <f t="shared" si="3"/>
        <v>0</v>
      </c>
      <c r="I14" s="61">
        <f t="shared" si="3"/>
        <v>18963.5</v>
      </c>
      <c r="J14" s="61">
        <f>J9</f>
        <v>0</v>
      </c>
      <c r="K14" s="63"/>
      <c r="L14" s="64">
        <f>L13*(1-$D7)</f>
        <v>71360.375</v>
      </c>
      <c r="M14" s="36">
        <f>M13*(1-$D7)</f>
        <v>71400</v>
      </c>
      <c r="N14" s="38"/>
    </row>
    <row r="15" spans="1:14" s="5" customFormat="1" ht="4.2" x14ac:dyDescent="0.3">
      <c r="A15" s="8"/>
      <c r="B15" s="6"/>
      <c r="C15" s="6"/>
    </row>
    <row r="16" spans="1:14" s="2" customFormat="1" x14ac:dyDescent="0.3">
      <c r="A16" s="11"/>
      <c r="B16" s="11" t="s">
        <v>0</v>
      </c>
      <c r="C16" s="59" t="s">
        <v>1</v>
      </c>
      <c r="D16" s="11" t="s">
        <v>17</v>
      </c>
      <c r="E16" s="11" t="s">
        <v>16</v>
      </c>
      <c r="F16" s="11" t="s">
        <v>28</v>
      </c>
      <c r="G16" s="11" t="s">
        <v>30</v>
      </c>
      <c r="H16" s="11" t="s">
        <v>29</v>
      </c>
      <c r="I16" s="11" t="s">
        <v>19</v>
      </c>
      <c r="J16" s="11" t="s">
        <v>2</v>
      </c>
      <c r="K16" s="18" t="s">
        <v>23</v>
      </c>
      <c r="L16" s="18" t="s">
        <v>24</v>
      </c>
      <c r="M16" s="17" t="s">
        <v>20</v>
      </c>
      <c r="N16" s="18" t="s">
        <v>4</v>
      </c>
    </row>
    <row r="17" spans="1:14" s="5" customFormat="1" ht="4.2" x14ac:dyDescent="0.3">
      <c r="A17" s="8"/>
      <c r="B17" s="6"/>
      <c r="C17" s="6"/>
      <c r="D17" s="28"/>
      <c r="E17" s="28"/>
      <c r="F17" s="28"/>
      <c r="G17" s="28"/>
      <c r="H17" s="28"/>
      <c r="I17" s="28"/>
      <c r="J17" s="29"/>
      <c r="K17" s="29"/>
      <c r="L17" s="30"/>
      <c r="M17" s="30"/>
    </row>
    <row r="18" spans="1:14" x14ac:dyDescent="0.3">
      <c r="A18" s="9" t="s">
        <v>54</v>
      </c>
      <c r="B18" s="10"/>
      <c r="C18" s="43"/>
      <c r="D18" s="13"/>
      <c r="E18" s="13"/>
      <c r="F18" s="13"/>
      <c r="G18" s="13"/>
      <c r="H18" s="13"/>
      <c r="I18" s="13"/>
      <c r="J18" s="13"/>
      <c r="K18" s="19"/>
      <c r="L18" s="20">
        <f>SUM(K19:K27)</f>
        <v>27079.625</v>
      </c>
      <c r="M18" s="20">
        <f>MROUND(L18,1000)</f>
        <v>27000</v>
      </c>
      <c r="N18" s="21">
        <f>M18/$M$13</f>
        <v>0.37815126050420167</v>
      </c>
    </row>
    <row r="19" spans="1:14" s="27" customFormat="1" ht="13.8" outlineLevel="1" x14ac:dyDescent="0.3">
      <c r="A19" s="22"/>
      <c r="B19" s="23" t="s">
        <v>15</v>
      </c>
      <c r="C19" s="44"/>
      <c r="D19" s="66">
        <v>0.25</v>
      </c>
      <c r="E19" s="66">
        <v>0.25</v>
      </c>
      <c r="G19" s="66">
        <v>0.25</v>
      </c>
      <c r="H19" s="66"/>
      <c r="I19" s="66">
        <v>0.25</v>
      </c>
      <c r="J19" s="25"/>
      <c r="K19" s="25">
        <f>J19+SUMPRODUCT($D19:$I19,$D$5:$I$5)</f>
        <v>1982.5</v>
      </c>
      <c r="L19" s="26"/>
      <c r="M19" s="26"/>
    </row>
    <row r="20" spans="1:14" s="27" customFormat="1" ht="13.8" outlineLevel="1" x14ac:dyDescent="0.3">
      <c r="A20" s="22"/>
      <c r="B20" s="23" t="s">
        <v>27</v>
      </c>
      <c r="C20" s="44" t="s">
        <v>56</v>
      </c>
      <c r="D20" s="66"/>
      <c r="E20" s="66">
        <v>0.5</v>
      </c>
      <c r="F20" s="66"/>
      <c r="G20" s="66">
        <v>2</v>
      </c>
      <c r="H20" s="66"/>
      <c r="I20" s="66">
        <v>2</v>
      </c>
      <c r="J20" s="25"/>
      <c r="K20" s="25">
        <f t="shared" ref="K20:K26" si="4">J20+SUMPRODUCT($D20:$I20,$D$5:$I$5)</f>
        <v>7950</v>
      </c>
      <c r="L20" s="26"/>
      <c r="M20" s="26"/>
    </row>
    <row r="21" spans="1:14" s="27" customFormat="1" ht="13.8" outlineLevel="1" x14ac:dyDescent="0.3">
      <c r="A21" s="22"/>
      <c r="B21" s="23" t="s">
        <v>27</v>
      </c>
      <c r="C21" s="44" t="s">
        <v>55</v>
      </c>
      <c r="D21" s="66"/>
      <c r="E21" s="66">
        <v>0.5</v>
      </c>
      <c r="F21" s="66"/>
      <c r="G21" s="66">
        <v>1</v>
      </c>
      <c r="H21" s="66"/>
      <c r="I21" s="66">
        <v>1</v>
      </c>
      <c r="J21" s="25"/>
      <c r="K21" s="25">
        <f t="shared" si="4"/>
        <v>4460</v>
      </c>
      <c r="L21" s="26"/>
      <c r="M21" s="26"/>
    </row>
    <row r="22" spans="1:14" s="27" customFormat="1" ht="13.8" outlineLevel="1" x14ac:dyDescent="0.3">
      <c r="A22" s="22"/>
      <c r="B22" s="23" t="s">
        <v>58</v>
      </c>
      <c r="C22" s="44"/>
      <c r="D22" s="66"/>
      <c r="E22" s="66">
        <v>0.5</v>
      </c>
      <c r="F22" s="66"/>
      <c r="G22" s="66">
        <v>1</v>
      </c>
      <c r="H22" s="66"/>
      <c r="I22" s="66">
        <v>1</v>
      </c>
      <c r="J22" s="25"/>
      <c r="K22" s="25">
        <f t="shared" si="4"/>
        <v>4460</v>
      </c>
      <c r="L22" s="26"/>
      <c r="M22" s="26"/>
    </row>
    <row r="23" spans="1:14" s="27" customFormat="1" ht="13.8" outlineLevel="1" x14ac:dyDescent="0.3">
      <c r="A23" s="22"/>
      <c r="B23" s="23" t="s">
        <v>57</v>
      </c>
      <c r="C23" s="44"/>
      <c r="D23" s="66">
        <v>0.25</v>
      </c>
      <c r="E23" s="66">
        <v>0.5</v>
      </c>
      <c r="F23" s="66"/>
      <c r="G23" s="66">
        <v>2</v>
      </c>
      <c r="H23" s="66"/>
      <c r="I23" s="66"/>
      <c r="J23" s="25"/>
      <c r="K23" s="25">
        <f t="shared" si="4"/>
        <v>4695</v>
      </c>
      <c r="L23" s="26"/>
      <c r="M23" s="26"/>
    </row>
    <row r="24" spans="1:14" s="27" customFormat="1" ht="13.8" outlineLevel="1" x14ac:dyDescent="0.3">
      <c r="A24" s="22"/>
      <c r="B24" s="23"/>
      <c r="C24" s="44"/>
      <c r="D24" s="66"/>
      <c r="E24" s="66"/>
      <c r="F24" s="66"/>
      <c r="G24" s="66"/>
      <c r="H24" s="66"/>
      <c r="I24" s="66"/>
      <c r="J24" s="25"/>
      <c r="K24" s="25">
        <f t="shared" si="4"/>
        <v>0</v>
      </c>
      <c r="L24" s="26"/>
      <c r="M24" s="26"/>
    </row>
    <row r="25" spans="1:14" s="27" customFormat="1" ht="13.8" outlineLevel="1" x14ac:dyDescent="0.3">
      <c r="A25" s="22"/>
      <c r="B25" s="23" t="s">
        <v>61</v>
      </c>
      <c r="C25" s="90">
        <f>$C$1</f>
        <v>0.15</v>
      </c>
      <c r="D25" s="66">
        <f>$C25*SUM(D19:D23)</f>
        <v>7.4999999999999997E-2</v>
      </c>
      <c r="E25" s="66">
        <f t="shared" ref="E25:I25" si="5">$C25*SUM(E19:E23)</f>
        <v>0.33749999999999997</v>
      </c>
      <c r="F25" s="66">
        <f t="shared" si="5"/>
        <v>0</v>
      </c>
      <c r="G25" s="66">
        <f t="shared" si="5"/>
        <v>0.9375</v>
      </c>
      <c r="H25" s="66">
        <f t="shared" si="5"/>
        <v>0</v>
      </c>
      <c r="I25" s="66">
        <f t="shared" si="5"/>
        <v>0.63749999999999996</v>
      </c>
      <c r="J25" s="66"/>
      <c r="K25" s="25">
        <f t="shared" si="4"/>
        <v>3532.125</v>
      </c>
      <c r="L25" s="26"/>
      <c r="M25" s="26"/>
    </row>
    <row r="26" spans="1:14" s="27" customFormat="1" ht="13.8" outlineLevel="1" x14ac:dyDescent="0.3">
      <c r="A26" s="22"/>
      <c r="B26" s="23"/>
      <c r="C26" s="44"/>
      <c r="D26" s="66"/>
      <c r="E26" s="66"/>
      <c r="F26" s="66"/>
      <c r="G26" s="66"/>
      <c r="H26" s="66"/>
      <c r="I26" s="66"/>
      <c r="J26" s="25"/>
      <c r="K26" s="25">
        <f t="shared" si="4"/>
        <v>0</v>
      </c>
      <c r="L26" s="26"/>
      <c r="M26" s="26"/>
    </row>
    <row r="27" spans="1:14" s="5" customFormat="1" ht="4.2" x14ac:dyDescent="0.3">
      <c r="A27" s="8"/>
      <c r="B27" s="6"/>
      <c r="C27" s="42"/>
      <c r="D27" s="67"/>
      <c r="E27" s="67"/>
      <c r="F27" s="67"/>
      <c r="G27" s="67"/>
      <c r="H27" s="67"/>
      <c r="I27" s="67"/>
      <c r="J27" s="29"/>
      <c r="K27" s="29"/>
      <c r="L27" s="30"/>
      <c r="M27" s="30"/>
    </row>
    <row r="28" spans="1:14" x14ac:dyDescent="0.3">
      <c r="A28" s="9" t="s">
        <v>68</v>
      </c>
      <c r="B28" s="10"/>
      <c r="C28" s="43"/>
      <c r="D28" s="13"/>
      <c r="E28" s="13"/>
      <c r="F28" s="13"/>
      <c r="G28" s="13"/>
      <c r="H28" s="13"/>
      <c r="I28" s="13"/>
      <c r="J28" s="13"/>
      <c r="K28" s="19"/>
      <c r="L28" s="20">
        <f>SUM(K29:K35)</f>
        <v>15257.625</v>
      </c>
      <c r="M28" s="20">
        <f>MROUND(L28,1000)</f>
        <v>15000</v>
      </c>
      <c r="N28" s="21">
        <f>M28/$M$13</f>
        <v>0.21008403361344538</v>
      </c>
    </row>
    <row r="29" spans="1:14" s="27" customFormat="1" ht="13.8" outlineLevel="1" x14ac:dyDescent="0.3">
      <c r="A29" s="22"/>
      <c r="B29" s="23" t="s">
        <v>15</v>
      </c>
      <c r="C29" s="44"/>
      <c r="D29" s="66">
        <v>0.25</v>
      </c>
      <c r="E29" s="66">
        <v>0.25</v>
      </c>
      <c r="G29" s="66">
        <v>0.25</v>
      </c>
      <c r="H29" s="66"/>
      <c r="I29" s="66"/>
      <c r="J29" s="25"/>
      <c r="K29" s="25">
        <f t="shared" ref="K29:K34" si="6">J29+SUMPRODUCT($D29:$I29,$D$5:$I$5)</f>
        <v>1497.5</v>
      </c>
      <c r="L29" s="26"/>
      <c r="M29" s="26"/>
    </row>
    <row r="30" spans="1:14" s="27" customFormat="1" ht="13.8" outlineLevel="1" x14ac:dyDescent="0.3">
      <c r="A30" s="22"/>
      <c r="B30" s="23" t="s">
        <v>59</v>
      </c>
      <c r="C30" s="44" t="s">
        <v>60</v>
      </c>
      <c r="D30" s="66"/>
      <c r="E30" s="66">
        <v>1</v>
      </c>
      <c r="F30" s="66"/>
      <c r="G30" s="66">
        <v>2</v>
      </c>
      <c r="H30" s="66"/>
      <c r="I30" s="66"/>
      <c r="J30" s="25"/>
      <c r="K30" s="25">
        <f t="shared" si="6"/>
        <v>5040</v>
      </c>
      <c r="L30" s="26"/>
      <c r="M30" s="26"/>
    </row>
    <row r="31" spans="1:14" s="27" customFormat="1" ht="13.8" outlineLevel="1" x14ac:dyDescent="0.3">
      <c r="A31" s="22"/>
      <c r="B31" s="23" t="s">
        <v>27</v>
      </c>
      <c r="C31" s="44" t="s">
        <v>62</v>
      </c>
      <c r="D31" s="66"/>
      <c r="E31" s="66">
        <v>0.25</v>
      </c>
      <c r="F31" s="66"/>
      <c r="G31" s="66">
        <v>1</v>
      </c>
      <c r="H31" s="66"/>
      <c r="I31" s="66"/>
      <c r="J31" s="25"/>
      <c r="K31" s="25">
        <f t="shared" si="6"/>
        <v>2035</v>
      </c>
      <c r="L31" s="26"/>
      <c r="M31" s="26"/>
    </row>
    <row r="32" spans="1:14" s="27" customFormat="1" ht="13.8" outlineLevel="1" x14ac:dyDescent="0.3">
      <c r="A32" s="22"/>
      <c r="B32" s="23" t="s">
        <v>57</v>
      </c>
      <c r="C32" s="44"/>
      <c r="D32" s="66">
        <v>0.25</v>
      </c>
      <c r="E32" s="66">
        <v>0.5</v>
      </c>
      <c r="F32" s="66"/>
      <c r="G32" s="66">
        <v>2</v>
      </c>
      <c r="H32" s="66"/>
      <c r="I32" s="66"/>
      <c r="J32" s="25"/>
      <c r="K32" s="25">
        <f t="shared" si="6"/>
        <v>4695</v>
      </c>
      <c r="L32" s="26"/>
      <c r="M32" s="26"/>
    </row>
    <row r="33" spans="1:14" s="27" customFormat="1" ht="13.8" outlineLevel="1" x14ac:dyDescent="0.3">
      <c r="A33" s="22"/>
      <c r="B33" s="23"/>
      <c r="C33" s="44"/>
      <c r="D33" s="66"/>
      <c r="E33" s="66"/>
      <c r="F33" s="66"/>
      <c r="G33" s="66"/>
      <c r="H33" s="66"/>
      <c r="I33" s="66"/>
      <c r="J33" s="25"/>
      <c r="K33" s="25">
        <f t="shared" si="6"/>
        <v>0</v>
      </c>
      <c r="L33" s="26"/>
      <c r="M33" s="26"/>
    </row>
    <row r="34" spans="1:14" s="27" customFormat="1" ht="13.8" outlineLevel="1" x14ac:dyDescent="0.3">
      <c r="A34" s="22"/>
      <c r="B34" s="23" t="s">
        <v>61</v>
      </c>
      <c r="C34" s="90">
        <f>$C$1</f>
        <v>0.15</v>
      </c>
      <c r="D34" s="66">
        <f>$C34*SUM(D29:D33)</f>
        <v>7.4999999999999997E-2</v>
      </c>
      <c r="E34" s="66">
        <f t="shared" ref="E34:I34" si="7">$C34*SUM(E29:E33)</f>
        <v>0.3</v>
      </c>
      <c r="F34" s="66">
        <f t="shared" si="7"/>
        <v>0</v>
      </c>
      <c r="G34" s="66">
        <f t="shared" si="7"/>
        <v>0.78749999999999998</v>
      </c>
      <c r="H34" s="66">
        <f t="shared" si="7"/>
        <v>0</v>
      </c>
      <c r="I34" s="66">
        <f t="shared" si="7"/>
        <v>0</v>
      </c>
      <c r="J34" s="25"/>
      <c r="K34" s="25">
        <f t="shared" si="6"/>
        <v>1990.125</v>
      </c>
      <c r="L34" s="26"/>
      <c r="M34" s="26"/>
    </row>
    <row r="35" spans="1:14" s="5" customFormat="1" ht="4.2" x14ac:dyDescent="0.3">
      <c r="A35" s="8"/>
      <c r="B35" s="6"/>
      <c r="C35" s="42"/>
      <c r="D35" s="67"/>
      <c r="E35" s="67"/>
      <c r="F35" s="67"/>
      <c r="G35" s="67"/>
      <c r="H35" s="67"/>
      <c r="I35" s="67"/>
      <c r="J35" s="29"/>
      <c r="K35" s="29"/>
      <c r="L35" s="30"/>
      <c r="M35" s="30"/>
    </row>
    <row r="36" spans="1:14" x14ac:dyDescent="0.3">
      <c r="A36" s="9" t="s">
        <v>63</v>
      </c>
      <c r="B36" s="10"/>
      <c r="C36" s="43"/>
      <c r="D36" s="13"/>
      <c r="E36" s="13"/>
      <c r="F36" s="13"/>
      <c r="G36" s="13"/>
      <c r="H36" s="13"/>
      <c r="I36" s="13"/>
      <c r="J36" s="13"/>
      <c r="K36" s="19"/>
      <c r="L36" s="20">
        <f>SUM(K37:K43)</f>
        <v>15681.6875</v>
      </c>
      <c r="M36" s="20">
        <f>MROUND(L36,1000)</f>
        <v>16000</v>
      </c>
      <c r="N36" s="21">
        <f>M36/$M$13</f>
        <v>0.22408963585434175</v>
      </c>
    </row>
    <row r="37" spans="1:14" s="27" customFormat="1" ht="13.8" outlineLevel="1" x14ac:dyDescent="0.3">
      <c r="A37" s="22"/>
      <c r="B37" s="23" t="s">
        <v>15</v>
      </c>
      <c r="C37" s="44"/>
      <c r="D37" s="66">
        <v>0.125</v>
      </c>
      <c r="E37" s="66">
        <v>0.125</v>
      </c>
      <c r="G37" s="66">
        <v>0.125</v>
      </c>
      <c r="H37" s="66"/>
      <c r="I37" s="66">
        <v>0.125</v>
      </c>
      <c r="J37" s="25"/>
      <c r="K37" s="25">
        <f t="shared" ref="K37:K42" si="8">J37+SUMPRODUCT($D37:$I37,$D$5:$I$5)</f>
        <v>991.25</v>
      </c>
      <c r="L37" s="26"/>
      <c r="M37" s="26"/>
    </row>
    <row r="38" spans="1:14" s="27" customFormat="1" ht="13.8" outlineLevel="1" x14ac:dyDescent="0.3">
      <c r="A38" s="22"/>
      <c r="B38" s="23" t="s">
        <v>27</v>
      </c>
      <c r="C38" s="44" t="s">
        <v>64</v>
      </c>
      <c r="D38" s="66"/>
      <c r="E38" s="66">
        <v>0.25</v>
      </c>
      <c r="F38" s="66"/>
      <c r="G38" s="66">
        <v>1</v>
      </c>
      <c r="H38" s="66"/>
      <c r="I38" s="66">
        <v>1</v>
      </c>
      <c r="J38" s="25"/>
      <c r="K38" s="25">
        <f t="shared" si="8"/>
        <v>3975</v>
      </c>
      <c r="L38" s="26"/>
      <c r="M38" s="26"/>
    </row>
    <row r="39" spans="1:14" s="27" customFormat="1" ht="13.8" outlineLevel="1" x14ac:dyDescent="0.3">
      <c r="A39" s="22"/>
      <c r="B39" s="23" t="s">
        <v>27</v>
      </c>
      <c r="C39" s="44" t="s">
        <v>67</v>
      </c>
      <c r="D39" s="66"/>
      <c r="E39" s="66">
        <v>0.5</v>
      </c>
      <c r="F39" s="66"/>
      <c r="G39" s="66">
        <v>2</v>
      </c>
      <c r="H39" s="66"/>
      <c r="I39" s="66">
        <v>1</v>
      </c>
      <c r="J39" s="25"/>
      <c r="K39" s="25">
        <f t="shared" si="8"/>
        <v>6010</v>
      </c>
      <c r="L39" s="26"/>
      <c r="M39" s="26"/>
    </row>
    <row r="40" spans="1:14" s="27" customFormat="1" ht="13.8" outlineLevel="1" x14ac:dyDescent="0.3">
      <c r="A40" s="22"/>
      <c r="B40" s="23" t="s">
        <v>57</v>
      </c>
      <c r="C40" s="44"/>
      <c r="D40" s="66">
        <v>0.25</v>
      </c>
      <c r="E40" s="66">
        <v>0.25</v>
      </c>
      <c r="F40" s="66"/>
      <c r="G40" s="66">
        <v>1</v>
      </c>
      <c r="H40" s="66"/>
      <c r="I40" s="66"/>
      <c r="J40" s="25"/>
      <c r="K40" s="25">
        <f t="shared" si="8"/>
        <v>2660</v>
      </c>
      <c r="L40" s="26"/>
      <c r="M40" s="26"/>
    </row>
    <row r="41" spans="1:14" s="27" customFormat="1" ht="13.8" outlineLevel="1" x14ac:dyDescent="0.3">
      <c r="A41" s="22"/>
      <c r="B41" s="23"/>
      <c r="C41" s="44" t="s">
        <v>65</v>
      </c>
      <c r="D41" s="66"/>
      <c r="E41" s="66"/>
      <c r="F41" s="66"/>
      <c r="G41" s="66"/>
      <c r="H41" s="66"/>
      <c r="I41" s="66"/>
      <c r="J41" s="25"/>
      <c r="K41" s="25">
        <f t="shared" si="8"/>
        <v>0</v>
      </c>
      <c r="L41" s="26"/>
      <c r="M41" s="26"/>
    </row>
    <row r="42" spans="1:14" s="27" customFormat="1" ht="13.8" outlineLevel="1" x14ac:dyDescent="0.3">
      <c r="A42" s="22"/>
      <c r="B42" s="23" t="s">
        <v>61</v>
      </c>
      <c r="C42" s="90">
        <f>$C$1</f>
        <v>0.15</v>
      </c>
      <c r="D42" s="66">
        <f t="shared" ref="D42:I42" si="9">$C42*SUM(D37:D41)</f>
        <v>5.6249999999999994E-2</v>
      </c>
      <c r="E42" s="66">
        <f t="shared" si="9"/>
        <v>0.16874999999999998</v>
      </c>
      <c r="F42" s="66">
        <f t="shared" si="9"/>
        <v>0</v>
      </c>
      <c r="G42" s="66">
        <f t="shared" si="9"/>
        <v>0.61875000000000002</v>
      </c>
      <c r="H42" s="66">
        <f t="shared" si="9"/>
        <v>0</v>
      </c>
      <c r="I42" s="66">
        <f t="shared" si="9"/>
        <v>0.31874999999999998</v>
      </c>
      <c r="J42" s="25"/>
      <c r="K42" s="25">
        <f t="shared" si="8"/>
        <v>2045.4375</v>
      </c>
      <c r="L42" s="26"/>
      <c r="M42" s="26"/>
    </row>
    <row r="43" spans="1:14" s="5" customFormat="1" ht="4.2" x14ac:dyDescent="0.3">
      <c r="A43" s="8"/>
      <c r="B43" s="6"/>
      <c r="C43" s="42"/>
      <c r="D43" s="67"/>
      <c r="E43" s="67"/>
      <c r="F43" s="67"/>
      <c r="G43" s="67"/>
      <c r="H43" s="67"/>
      <c r="I43" s="67"/>
      <c r="J43" s="29"/>
      <c r="K43" s="29"/>
      <c r="L43" s="30"/>
      <c r="M43" s="30"/>
    </row>
    <row r="44" spans="1:14" x14ac:dyDescent="0.3">
      <c r="A44" s="9" t="s">
        <v>66</v>
      </c>
      <c r="B44" s="10"/>
      <c r="C44" s="43"/>
      <c r="D44" s="13"/>
      <c r="E44" s="13"/>
      <c r="F44" s="13"/>
      <c r="G44" s="13"/>
      <c r="H44" s="13"/>
      <c r="I44" s="13"/>
      <c r="J44" s="13"/>
      <c r="K44" s="19"/>
      <c r="L44" s="20">
        <f>SUM(K45:K51)</f>
        <v>13341.4375</v>
      </c>
      <c r="M44" s="20">
        <f>MROUND(L44,1000)</f>
        <v>13000</v>
      </c>
      <c r="N44" s="21">
        <f>M44/$M$13</f>
        <v>0.18207282913165265</v>
      </c>
    </row>
    <row r="45" spans="1:14" s="27" customFormat="1" ht="13.8" outlineLevel="1" x14ac:dyDescent="0.3">
      <c r="A45" s="22"/>
      <c r="B45" s="23" t="s">
        <v>15</v>
      </c>
      <c r="C45" s="44"/>
      <c r="D45" s="66">
        <v>0.125</v>
      </c>
      <c r="E45" s="66">
        <v>0.125</v>
      </c>
      <c r="G45" s="66">
        <v>0.125</v>
      </c>
      <c r="H45" s="66"/>
      <c r="I45" s="66">
        <v>0.125</v>
      </c>
      <c r="J45" s="25"/>
      <c r="K45" s="25">
        <f t="shared" ref="K45:K50" si="10">J45+SUMPRODUCT($D45:$I45,$D$5:$I$5)</f>
        <v>991.25</v>
      </c>
      <c r="L45" s="26"/>
      <c r="M45" s="26"/>
    </row>
    <row r="46" spans="1:14" s="27" customFormat="1" ht="13.8" outlineLevel="1" x14ac:dyDescent="0.3">
      <c r="A46" s="22"/>
      <c r="B46" s="23" t="s">
        <v>58</v>
      </c>
      <c r="C46" s="44"/>
      <c r="D46" s="66"/>
      <c r="E46" s="66">
        <v>0.5</v>
      </c>
      <c r="F46" s="66"/>
      <c r="G46" s="66">
        <v>2</v>
      </c>
      <c r="H46" s="66"/>
      <c r="I46" s="66">
        <v>2</v>
      </c>
      <c r="J46" s="25"/>
      <c r="K46" s="25">
        <f t="shared" si="10"/>
        <v>7950</v>
      </c>
      <c r="L46" s="26"/>
      <c r="M46" s="26"/>
    </row>
    <row r="47" spans="1:14" s="27" customFormat="1" ht="13.8" outlineLevel="1" x14ac:dyDescent="0.3">
      <c r="A47" s="22"/>
      <c r="B47" s="23"/>
      <c r="C47" s="44"/>
      <c r="D47" s="66"/>
      <c r="E47" s="66"/>
      <c r="F47" s="66"/>
      <c r="G47" s="66"/>
      <c r="H47" s="66"/>
      <c r="I47" s="66"/>
      <c r="J47" s="25"/>
      <c r="K47" s="25">
        <f t="shared" si="10"/>
        <v>0</v>
      </c>
      <c r="L47" s="26"/>
      <c r="M47" s="26"/>
    </row>
    <row r="48" spans="1:14" s="27" customFormat="1" ht="13.8" outlineLevel="1" x14ac:dyDescent="0.3">
      <c r="A48" s="22"/>
      <c r="B48" s="23" t="s">
        <v>57</v>
      </c>
      <c r="C48" s="44"/>
      <c r="D48" s="66">
        <v>0.25</v>
      </c>
      <c r="E48" s="66">
        <v>0.25</v>
      </c>
      <c r="F48" s="66"/>
      <c r="G48" s="66">
        <v>1</v>
      </c>
      <c r="H48" s="66"/>
      <c r="I48" s="66"/>
      <c r="J48" s="25"/>
      <c r="K48" s="25">
        <f t="shared" si="10"/>
        <v>2660</v>
      </c>
      <c r="L48" s="26"/>
      <c r="M48" s="26"/>
    </row>
    <row r="49" spans="1:14" s="27" customFormat="1" ht="13.8" outlineLevel="1" x14ac:dyDescent="0.3">
      <c r="A49" s="22"/>
      <c r="B49" s="23"/>
      <c r="C49" s="44" t="s">
        <v>65</v>
      </c>
      <c r="D49" s="66"/>
      <c r="E49" s="66"/>
      <c r="F49" s="66"/>
      <c r="G49" s="66"/>
      <c r="H49" s="66"/>
      <c r="I49" s="66"/>
      <c r="J49" s="25"/>
      <c r="K49" s="25">
        <f t="shared" si="10"/>
        <v>0</v>
      </c>
      <c r="L49" s="26"/>
      <c r="M49" s="26"/>
    </row>
    <row r="50" spans="1:14" s="27" customFormat="1" ht="13.8" outlineLevel="1" x14ac:dyDescent="0.3">
      <c r="A50" s="22"/>
      <c r="B50" s="23" t="s">
        <v>61</v>
      </c>
      <c r="C50" s="90">
        <f>$C$1</f>
        <v>0.15</v>
      </c>
      <c r="D50" s="66">
        <f t="shared" ref="D50:I50" si="11">$C50*SUM(D45:D49)</f>
        <v>5.6249999999999994E-2</v>
      </c>
      <c r="E50" s="66">
        <f t="shared" si="11"/>
        <v>0.13125000000000001</v>
      </c>
      <c r="F50" s="66">
        <f t="shared" si="11"/>
        <v>0</v>
      </c>
      <c r="G50" s="66">
        <f t="shared" si="11"/>
        <v>0.46875</v>
      </c>
      <c r="H50" s="66">
        <f t="shared" si="11"/>
        <v>0</v>
      </c>
      <c r="I50" s="66">
        <f t="shared" si="11"/>
        <v>0.31874999999999998</v>
      </c>
      <c r="J50" s="25"/>
      <c r="K50" s="25">
        <f t="shared" si="10"/>
        <v>1740.1875</v>
      </c>
      <c r="L50" s="26"/>
      <c r="M50" s="26"/>
    </row>
    <row r="51" spans="1:14" s="5" customFormat="1" ht="4.2" x14ac:dyDescent="0.3">
      <c r="A51" s="8"/>
      <c r="B51" s="6"/>
      <c r="C51" s="42"/>
      <c r="D51" s="67"/>
      <c r="E51" s="67"/>
      <c r="F51" s="67"/>
      <c r="G51" s="67"/>
      <c r="H51" s="67"/>
      <c r="I51" s="67"/>
      <c r="J51" s="29"/>
      <c r="K51" s="29"/>
      <c r="L51" s="30"/>
      <c r="M51" s="30"/>
    </row>
    <row r="52" spans="1:14" x14ac:dyDescent="0.3">
      <c r="A52" s="9" t="s">
        <v>11</v>
      </c>
      <c r="B52" s="10"/>
      <c r="C52" s="43"/>
      <c r="D52" s="13"/>
      <c r="E52" s="13"/>
      <c r="F52" s="13"/>
      <c r="G52" s="13"/>
      <c r="H52" s="13"/>
      <c r="I52" s="13"/>
      <c r="J52" s="13"/>
      <c r="K52" s="19"/>
      <c r="L52" s="20">
        <f>SUM(K53:K59)</f>
        <v>0</v>
      </c>
      <c r="M52" s="20">
        <f>MROUND(L52,1000)</f>
        <v>0</v>
      </c>
      <c r="N52" s="21">
        <f>M52/$M$13</f>
        <v>0</v>
      </c>
    </row>
    <row r="53" spans="1:14" s="27" customFormat="1" ht="13.8" outlineLevel="1" x14ac:dyDescent="0.3">
      <c r="A53" s="22"/>
      <c r="B53" s="23" t="s">
        <v>13</v>
      </c>
      <c r="C53" s="44"/>
      <c r="D53" s="66"/>
      <c r="E53" s="66"/>
      <c r="F53" s="66"/>
      <c r="G53" s="66"/>
      <c r="H53" s="66"/>
      <c r="I53" s="66"/>
      <c r="J53" s="25"/>
      <c r="K53" s="25">
        <f t="shared" ref="K53:K58" si="12">J53+SUMPRODUCT($D53:$I53,$D$5:$I$5)</f>
        <v>0</v>
      </c>
      <c r="L53" s="26"/>
      <c r="M53" s="26"/>
    </row>
    <row r="54" spans="1:14" s="27" customFormat="1" ht="13.8" outlineLevel="1" x14ac:dyDescent="0.3">
      <c r="A54" s="22"/>
      <c r="B54" s="23" t="s">
        <v>21</v>
      </c>
      <c r="C54" s="44"/>
      <c r="D54" s="66"/>
      <c r="E54" s="66"/>
      <c r="F54" s="66"/>
      <c r="G54" s="66"/>
      <c r="H54" s="66"/>
      <c r="I54" s="66"/>
      <c r="J54" s="25"/>
      <c r="K54" s="25">
        <f t="shared" si="12"/>
        <v>0</v>
      </c>
      <c r="L54" s="26"/>
      <c r="M54" s="26"/>
    </row>
    <row r="55" spans="1:14" s="27" customFormat="1" ht="13.8" outlineLevel="1" x14ac:dyDescent="0.3">
      <c r="A55" s="22"/>
      <c r="B55" s="23" t="s">
        <v>14</v>
      </c>
      <c r="C55" s="44"/>
      <c r="D55" s="66"/>
      <c r="E55" s="66"/>
      <c r="F55" s="66"/>
      <c r="G55" s="66"/>
      <c r="H55" s="66"/>
      <c r="I55" s="66"/>
      <c r="J55" s="25"/>
      <c r="K55" s="25">
        <f t="shared" si="12"/>
        <v>0</v>
      </c>
      <c r="L55" s="26"/>
      <c r="M55" s="26"/>
    </row>
    <row r="56" spans="1:14" s="27" customFormat="1" ht="13.8" outlineLevel="1" x14ac:dyDescent="0.3">
      <c r="A56" s="22"/>
      <c r="B56" s="23" t="s">
        <v>12</v>
      </c>
      <c r="C56" s="44"/>
      <c r="D56" s="66"/>
      <c r="E56" s="66"/>
      <c r="F56" s="66"/>
      <c r="G56" s="66"/>
      <c r="H56" s="66"/>
      <c r="I56" s="66"/>
      <c r="J56" s="25"/>
      <c r="K56" s="25">
        <f t="shared" si="12"/>
        <v>0</v>
      </c>
      <c r="L56" s="26"/>
      <c r="M56" s="26"/>
    </row>
    <row r="57" spans="1:14" s="27" customFormat="1" ht="13.8" outlineLevel="1" x14ac:dyDescent="0.3">
      <c r="A57" s="22"/>
      <c r="B57" s="23"/>
      <c r="C57" s="44"/>
      <c r="D57" s="66"/>
      <c r="E57" s="66"/>
      <c r="F57" s="66"/>
      <c r="G57" s="66"/>
      <c r="H57" s="66"/>
      <c r="I57" s="66"/>
      <c r="J57" s="25"/>
      <c r="K57" s="25">
        <f t="shared" si="12"/>
        <v>0</v>
      </c>
      <c r="L57" s="26"/>
      <c r="M57" s="26"/>
    </row>
    <row r="58" spans="1:14" s="27" customFormat="1" ht="13.8" outlineLevel="1" x14ac:dyDescent="0.3">
      <c r="A58" s="22"/>
      <c r="B58" s="23"/>
      <c r="C58" s="44"/>
      <c r="D58" s="66"/>
      <c r="E58" s="66"/>
      <c r="F58" s="66"/>
      <c r="G58" s="66"/>
      <c r="H58" s="66"/>
      <c r="I58" s="66"/>
      <c r="J58" s="25"/>
      <c r="K58" s="25">
        <f t="shared" si="12"/>
        <v>0</v>
      </c>
      <c r="L58" s="26"/>
      <c r="M58" s="26"/>
    </row>
    <row r="59" spans="1:14" s="5" customFormat="1" ht="4.2" x14ac:dyDescent="0.3">
      <c r="A59" s="8"/>
      <c r="B59" s="6"/>
      <c r="C59" s="42"/>
      <c r="D59" s="67"/>
      <c r="E59" s="67"/>
      <c r="F59" s="67"/>
      <c r="G59" s="67"/>
      <c r="H59" s="67"/>
      <c r="I59" s="67"/>
      <c r="J59" s="29"/>
      <c r="K59" s="29"/>
      <c r="L59" s="30"/>
      <c r="M59" s="30"/>
    </row>
    <row r="60" spans="1:14" s="47" customFormat="1" ht="6.6" x14ac:dyDescent="0.3">
      <c r="A60" s="45"/>
      <c r="B60" s="45"/>
      <c r="C60" s="46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</row>
    <row r="61" spans="1:14" x14ac:dyDescent="0.3">
      <c r="M61" s="7"/>
    </row>
    <row r="64" spans="1:14" x14ac:dyDescent="0.3">
      <c r="D64" s="89"/>
      <c r="E64" s="89"/>
      <c r="F64" s="89"/>
      <c r="G64" s="89"/>
      <c r="H64" s="89"/>
      <c r="I64" s="89"/>
    </row>
    <row r="72" spans="11:11" x14ac:dyDescent="0.3">
      <c r="K72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0550-7388-46FD-A57A-241908C1CAE7}">
  <dimension ref="A1:D17"/>
  <sheetViews>
    <sheetView zoomScale="110" zoomScaleNormal="110" workbookViewId="0">
      <selection activeCell="B9" sqref="B9"/>
    </sheetView>
  </sheetViews>
  <sheetFormatPr baseColWidth="10" defaultColWidth="8.88671875" defaultRowHeight="14.4" x14ac:dyDescent="0.3"/>
  <cols>
    <col min="1" max="1" width="20" customWidth="1"/>
    <col min="2" max="3" width="9.88671875" customWidth="1"/>
    <col min="4" max="4" width="15.109375" bestFit="1" customWidth="1"/>
  </cols>
  <sheetData>
    <row r="1" spans="1:4" x14ac:dyDescent="0.3">
      <c r="A1" s="79" t="s">
        <v>52</v>
      </c>
      <c r="B1" s="78" t="s">
        <v>44</v>
      </c>
      <c r="C1" s="78" t="s">
        <v>45</v>
      </c>
      <c r="D1" s="82" t="s">
        <v>37</v>
      </c>
    </row>
    <row r="2" spans="1:4" x14ac:dyDescent="0.3">
      <c r="A2" s="77" t="s">
        <v>35</v>
      </c>
      <c r="B2" s="78">
        <v>1.0500000000000001E-2</v>
      </c>
      <c r="C2" s="78">
        <v>-0.45900000000000002</v>
      </c>
      <c r="D2" s="82" t="s">
        <v>34</v>
      </c>
    </row>
    <row r="3" spans="1:4" x14ac:dyDescent="0.3">
      <c r="A3" s="77" t="s">
        <v>36</v>
      </c>
      <c r="B3" s="78">
        <v>2.5600000000000001E-2</v>
      </c>
      <c r="C3" s="78">
        <v>-0.49099999999999999</v>
      </c>
      <c r="D3" s="82" t="s">
        <v>46</v>
      </c>
    </row>
    <row r="4" spans="1:4" x14ac:dyDescent="0.3">
      <c r="A4" s="80" t="s">
        <v>51</v>
      </c>
      <c r="B4" s="81"/>
      <c r="C4" s="81"/>
      <c r="D4" s="81"/>
    </row>
    <row r="5" spans="1:4" x14ac:dyDescent="0.3">
      <c r="B5" s="74"/>
      <c r="C5" s="74"/>
    </row>
    <row r="6" spans="1:4" x14ac:dyDescent="0.3">
      <c r="A6" s="73" t="s">
        <v>40</v>
      </c>
      <c r="B6" s="76" t="s">
        <v>49</v>
      </c>
      <c r="C6" s="74"/>
    </row>
    <row r="7" spans="1:4" x14ac:dyDescent="0.3">
      <c r="A7" t="s">
        <v>38</v>
      </c>
      <c r="B7" s="87">
        <v>40</v>
      </c>
      <c r="C7" s="74"/>
    </row>
    <row r="8" spans="1:4" x14ac:dyDescent="0.3">
      <c r="A8" t="s">
        <v>39</v>
      </c>
      <c r="B8" s="87">
        <v>5</v>
      </c>
      <c r="C8" s="74"/>
    </row>
    <row r="9" spans="1:4" x14ac:dyDescent="0.3">
      <c r="B9" s="74"/>
      <c r="C9" s="74"/>
    </row>
    <row r="10" spans="1:4" x14ac:dyDescent="0.3">
      <c r="A10" s="73" t="s">
        <v>41</v>
      </c>
      <c r="B10" s="76" t="s">
        <v>47</v>
      </c>
      <c r="C10" s="76" t="s">
        <v>48</v>
      </c>
    </row>
    <row r="11" spans="1:4" x14ac:dyDescent="0.3">
      <c r="A11" t="s">
        <v>35</v>
      </c>
      <c r="B11" s="75">
        <f>B2*B7^C2</f>
        <v>1.9312734185978006E-3</v>
      </c>
      <c r="C11" s="83">
        <f>B7*10^6*B11</f>
        <v>77250.936743912025</v>
      </c>
    </row>
    <row r="12" spans="1:4" x14ac:dyDescent="0.3">
      <c r="A12" t="s">
        <v>36</v>
      </c>
      <c r="B12" s="75">
        <f>B3*B8^C3</f>
        <v>1.1615708191135762E-2</v>
      </c>
      <c r="C12" s="83">
        <f>B8*10^6*B12</f>
        <v>58078.540955678814</v>
      </c>
    </row>
    <row r="14" spans="1:4" x14ac:dyDescent="0.3">
      <c r="A14" t="s">
        <v>50</v>
      </c>
      <c r="B14" s="84">
        <v>0.05</v>
      </c>
    </row>
    <row r="16" spans="1:4" x14ac:dyDescent="0.3">
      <c r="A16" s="85" t="s">
        <v>42</v>
      </c>
      <c r="B16" s="86">
        <f>MIN(C11:C12)*(1-B14)</f>
        <v>55174.613907894869</v>
      </c>
    </row>
    <row r="17" spans="1:2" x14ac:dyDescent="0.3">
      <c r="A17" s="85" t="s">
        <v>43</v>
      </c>
      <c r="B17" s="86">
        <f>MAX(C11:C12)*(1+B14)</f>
        <v>81113.483581107634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EB4CED5BC1FB4CB2823F8154D22059" ma:contentTypeVersion="17" ma:contentTypeDescription="Crée un document." ma:contentTypeScope="" ma:versionID="b520b2189aa50d17d517d0525211ce2c">
  <xsd:schema xmlns:xsd="http://www.w3.org/2001/XMLSchema" xmlns:xs="http://www.w3.org/2001/XMLSchema" xmlns:p="http://schemas.microsoft.com/office/2006/metadata/properties" xmlns:ns2="157e60a5-e5ac-49eb-b488-cb0302f812c6" xmlns:ns3="2653d610-b48f-4109-af3e-0696abc3cdfd" targetNamespace="http://schemas.microsoft.com/office/2006/metadata/properties" ma:root="true" ma:fieldsID="43c185475ca207a72d08f67bd0f84b89" ns2:_="" ns3:_="">
    <xsd:import namespace="157e60a5-e5ac-49eb-b488-cb0302f812c6"/>
    <xsd:import namespace="2653d610-b48f-4109-af3e-0696abc3cd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e60a5-e5ac-49eb-b488-cb0302f8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8f5c8b9a-e3cc-4eee-b4fd-751fe037a2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3d610-b48f-4109-af3e-0696abc3cdf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bac545d-4832-4e2e-a3a1-17a4c2ccd9fc}" ma:internalName="TaxCatchAll" ma:showField="CatchAllData" ma:web="2653d610-b48f-4109-af3e-0696abc3cd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7e60a5-e5ac-49eb-b488-cb0302f812c6">
      <Terms xmlns="http://schemas.microsoft.com/office/infopath/2007/PartnerControls"/>
    </lcf76f155ced4ddcb4097134ff3c332f>
    <TaxCatchAll xmlns="2653d610-b48f-4109-af3e-0696abc3cdf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18177F-D927-44AB-9B36-044F29CC7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7e60a5-e5ac-49eb-b488-cb0302f812c6"/>
    <ds:schemaRef ds:uri="2653d610-b48f-4109-af3e-0696abc3cd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2C3426-6A9C-43A4-A818-884A9E5115FC}">
  <ds:schemaRefs>
    <ds:schemaRef ds:uri="http://schemas.microsoft.com/office/2006/metadata/properties"/>
    <ds:schemaRef ds:uri="http://schemas.microsoft.com/office/infopath/2007/PartnerControls"/>
    <ds:schemaRef ds:uri="157e60a5-e5ac-49eb-b488-cb0302f812c6"/>
    <ds:schemaRef ds:uri="2653d610-b48f-4109-af3e-0696abc3cdfd"/>
  </ds:schemaRefs>
</ds:datastoreItem>
</file>

<file path=customXml/itemProps3.xml><?xml version="1.0" encoding="utf-8"?>
<ds:datastoreItem xmlns:ds="http://schemas.openxmlformats.org/officeDocument/2006/customXml" ds:itemID="{554E7DE9-4C34-4B3B-B872-54717D624D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Devis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2025-06-30T06:03:32Z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0x010100DAEB4CED5BC1FB4CB2823F8154D22059</vt:lpwstr>
  </property>
  <property fmtid="{D5CDD505-2E9C-101B-9397-08002B2CF9AE}" pid="3" name="MediaServiceImageTags">
    <vt:lpwstr/>
  </property>
</Properties>
</file>