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7F45BF0E-7E98-4841-9FEC-6FF522AD1C1B}" xr6:coauthVersionLast="45" xr6:coauthVersionMax="45" xr10:uidLastSave="{00000000-0000-0000-0000-000000000000}"/>
  <bookViews>
    <workbookView xWindow="11520" yWindow="300" windowWidth="10950" windowHeight="10695" tabRatio="648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3" i="1" l="1"/>
  <c r="L243" i="1"/>
  <c r="D5762" i="3"/>
  <c r="E5809" i="3"/>
  <c r="E5807" i="3"/>
  <c r="E5806" i="3"/>
  <c r="E5805" i="3"/>
  <c r="E5803" i="3"/>
  <c r="E5802" i="3"/>
  <c r="E5801" i="3"/>
  <c r="F5801" i="3" s="1"/>
  <c r="E5800" i="3"/>
  <c r="F5800" i="3" s="1"/>
  <c r="E5798" i="3"/>
  <c r="E5797" i="3"/>
  <c r="E5795" i="3"/>
  <c r="E5793" i="3"/>
  <c r="E5791" i="3"/>
  <c r="E5790" i="3"/>
  <c r="F5790" i="3" s="1"/>
  <c r="E5787" i="3"/>
  <c r="F5787" i="3" s="1"/>
  <c r="E5786" i="3"/>
  <c r="E5808" i="3"/>
  <c r="F5808" i="3" s="1"/>
  <c r="F5795" i="3"/>
  <c r="E5789" i="3"/>
  <c r="F5809" i="3"/>
  <c r="F5807" i="3"/>
  <c r="F5806" i="3"/>
  <c r="F5805" i="3"/>
  <c r="F5804" i="3"/>
  <c r="F5803" i="3"/>
  <c r="F5802" i="3"/>
  <c r="F5799" i="3"/>
  <c r="F5798" i="3"/>
  <c r="F5797" i="3"/>
  <c r="F5796" i="3"/>
  <c r="F5794" i="3"/>
  <c r="F5793" i="3"/>
  <c r="F5792" i="3"/>
  <c r="F5791" i="3"/>
  <c r="F5789" i="3"/>
  <c r="F5788" i="3"/>
  <c r="F5786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R243" i="1"/>
  <c r="E243" i="1"/>
  <c r="C243" i="1"/>
  <c r="Q242" i="1" l="1"/>
  <c r="R242" i="1"/>
  <c r="S242" i="1"/>
  <c r="P242" i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C242" i="1"/>
  <c r="F5785" i="3" l="1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5" i="3"/>
  <c r="F5764" i="3"/>
  <c r="F5763" i="3"/>
  <c r="F5762" i="3"/>
  <c r="D5785" i="3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Q241" i="1" l="1"/>
  <c r="P241" i="1"/>
  <c r="L241" i="1"/>
  <c r="E5761" i="3"/>
  <c r="E5760" i="3"/>
  <c r="E5759" i="3"/>
  <c r="E5758" i="3"/>
  <c r="E5755" i="3"/>
  <c r="E5754" i="3"/>
  <c r="E5753" i="3"/>
  <c r="E5752" i="3"/>
  <c r="E5750" i="3"/>
  <c r="E5747" i="3"/>
  <c r="E5745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C241" i="1"/>
  <c r="P240" i="1"/>
  <c r="L240" i="1"/>
  <c r="F5761" i="3"/>
  <c r="F5759" i="3"/>
  <c r="F5758" i="3"/>
  <c r="F5757" i="3"/>
  <c r="F5756" i="3"/>
  <c r="F5755" i="3"/>
  <c r="F5754" i="3"/>
  <c r="F5753" i="3"/>
  <c r="F5752" i="3"/>
  <c r="F5751" i="3"/>
  <c r="F5750" i="3"/>
  <c r="F5749" i="3"/>
  <c r="F5747" i="3"/>
  <c r="F5746" i="3"/>
  <c r="F5745" i="3"/>
  <c r="F5744" i="3"/>
  <c r="F5743" i="3"/>
  <c r="F5741" i="3"/>
  <c r="F5740" i="3"/>
  <c r="F5739" i="3"/>
  <c r="E5732" i="3" l="1"/>
  <c r="F5732" i="3" s="1"/>
  <c r="E5715" i="3"/>
  <c r="E5737" i="3"/>
  <c r="E5735" i="3"/>
  <c r="E5734" i="3"/>
  <c r="F5734" i="3" s="1"/>
  <c r="E5730" i="3"/>
  <c r="E5729" i="3"/>
  <c r="F5729" i="3" s="1"/>
  <c r="E5728" i="3"/>
  <c r="E5726" i="3"/>
  <c r="E5725" i="3"/>
  <c r="E5723" i="3"/>
  <c r="E5721" i="3"/>
  <c r="E5719" i="3"/>
  <c r="E5717" i="3"/>
  <c r="E5733" i="3"/>
  <c r="E5731" i="3"/>
  <c r="F5731" i="3" s="1"/>
  <c r="F5718" i="3"/>
  <c r="F5742" i="3" s="1"/>
  <c r="F5766" i="3" s="1"/>
  <c r="F5737" i="3"/>
  <c r="F5736" i="3"/>
  <c r="F5760" i="3" s="1"/>
  <c r="F5735" i="3"/>
  <c r="F5733" i="3"/>
  <c r="F5730" i="3"/>
  <c r="F5728" i="3"/>
  <c r="F5727" i="3"/>
  <c r="F5726" i="3"/>
  <c r="F5725" i="3"/>
  <c r="F5724" i="3"/>
  <c r="F5748" i="3" s="1"/>
  <c r="F5723" i="3"/>
  <c r="F5722" i="3"/>
  <c r="F5721" i="3"/>
  <c r="F5720" i="3"/>
  <c r="F5719" i="3"/>
  <c r="F5717" i="3"/>
  <c r="F5716" i="3"/>
  <c r="F5715" i="3"/>
  <c r="Q240" i="1"/>
  <c r="P239" i="1"/>
  <c r="L239" i="1"/>
  <c r="E240" i="1"/>
  <c r="E241" i="1" s="1"/>
  <c r="C240" i="1"/>
  <c r="Q239" i="1"/>
  <c r="I239" i="1"/>
  <c r="E5671" i="3"/>
  <c r="C239" i="1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4" i="3"/>
  <c r="F5693" i="3"/>
  <c r="F5692" i="3"/>
  <c r="F5691" i="3"/>
  <c r="Q238" i="1"/>
  <c r="L238" i="1"/>
  <c r="E5689" i="3"/>
  <c r="F5689" i="3" s="1"/>
  <c r="E5687" i="3"/>
  <c r="E5686" i="3"/>
  <c r="E5682" i="3"/>
  <c r="E5681" i="3"/>
  <c r="E5680" i="3"/>
  <c r="E5678" i="3"/>
  <c r="E5673" i="3"/>
  <c r="F5673" i="3" s="1"/>
  <c r="E5670" i="3"/>
  <c r="E5669" i="3"/>
  <c r="F5669" i="3" s="1"/>
  <c r="E5667" i="3"/>
  <c r="F5667" i="3" s="1"/>
  <c r="E5666" i="3"/>
  <c r="E5688" i="3"/>
  <c r="F5680" i="3"/>
  <c r="E5675" i="3"/>
  <c r="F5675" i="3" s="1"/>
  <c r="E5647" i="3"/>
  <c r="F5647" i="3" s="1"/>
  <c r="F5671" i="3" s="1"/>
  <c r="F5695" i="3" s="1"/>
  <c r="F5688" i="3"/>
  <c r="F5687" i="3"/>
  <c r="F5686" i="3"/>
  <c r="F5685" i="3"/>
  <c r="F5684" i="3"/>
  <c r="F5683" i="3"/>
  <c r="F5682" i="3"/>
  <c r="F5681" i="3"/>
  <c r="F5679" i="3"/>
  <c r="F5678" i="3"/>
  <c r="F5677" i="3"/>
  <c r="F5676" i="3"/>
  <c r="F5674" i="3"/>
  <c r="F5672" i="3"/>
  <c r="F5670" i="3"/>
  <c r="F5668" i="3"/>
  <c r="I238" i="1"/>
  <c r="R236" i="1"/>
  <c r="S236" i="1"/>
  <c r="Q236" i="1"/>
  <c r="Q237" i="1"/>
  <c r="P236" i="1"/>
  <c r="P237" i="1"/>
  <c r="L236" i="1"/>
  <c r="L237" i="1"/>
  <c r="E5665" i="3"/>
  <c r="E5664" i="3"/>
  <c r="E5662" i="3"/>
  <c r="F5662" i="3" s="1"/>
  <c r="E5657" i="3"/>
  <c r="E5655" i="3"/>
  <c r="F5655" i="3" s="1"/>
  <c r="E5654" i="3"/>
  <c r="F5654" i="3" s="1"/>
  <c r="E5651" i="3"/>
  <c r="F5651" i="3" s="1"/>
  <c r="E5649" i="3"/>
  <c r="F5649" i="3" s="1"/>
  <c r="E5646" i="3"/>
  <c r="F5646" i="3" s="1"/>
  <c r="E5645" i="3"/>
  <c r="F5645" i="3" s="1"/>
  <c r="E5643" i="3"/>
  <c r="E5642" i="3"/>
  <c r="E5659" i="3"/>
  <c r="F5659" i="3" s="1"/>
  <c r="E5658" i="3"/>
  <c r="F5643" i="3"/>
  <c r="F5665" i="3"/>
  <c r="F5664" i="3"/>
  <c r="F5663" i="3"/>
  <c r="F5661" i="3"/>
  <c r="F5660" i="3"/>
  <c r="F5658" i="3"/>
  <c r="F5657" i="3"/>
  <c r="F5656" i="3"/>
  <c r="F5653" i="3"/>
  <c r="F5652" i="3"/>
  <c r="F5650" i="3"/>
  <c r="F5648" i="3"/>
  <c r="F5644" i="3"/>
  <c r="I237" i="1"/>
  <c r="E237" i="1"/>
  <c r="E238" i="1" s="1"/>
  <c r="E239" i="1" s="1"/>
  <c r="R239" i="1" s="1"/>
  <c r="C237" i="1"/>
  <c r="C238" i="1" s="1"/>
  <c r="E5641" i="3"/>
  <c r="F5641" i="3" s="1"/>
  <c r="E5640" i="3"/>
  <c r="E5638" i="3"/>
  <c r="E5637" i="3"/>
  <c r="E5634" i="3"/>
  <c r="F5634" i="3" s="1"/>
  <c r="E5633" i="3"/>
  <c r="F5633" i="3" s="1"/>
  <c r="E5632" i="3"/>
  <c r="E5630" i="3"/>
  <c r="F5630" i="3" s="1"/>
  <c r="E5627" i="3"/>
  <c r="F5627" i="3" s="1"/>
  <c r="E5625" i="3"/>
  <c r="E5624" i="3"/>
  <c r="E5623" i="3"/>
  <c r="E5622" i="3"/>
  <c r="F5622" i="3" s="1"/>
  <c r="E5621" i="3"/>
  <c r="E5619" i="3"/>
  <c r="E5614" i="3"/>
  <c r="E5618" i="3"/>
  <c r="F5640" i="3"/>
  <c r="E5629" i="3"/>
  <c r="F5629" i="3" s="1"/>
  <c r="E5628" i="3"/>
  <c r="F5639" i="3"/>
  <c r="F5637" i="3"/>
  <c r="F5636" i="3"/>
  <c r="F5635" i="3"/>
  <c r="F5632" i="3"/>
  <c r="F5631" i="3"/>
  <c r="F5628" i="3"/>
  <c r="F5626" i="3"/>
  <c r="F5625" i="3"/>
  <c r="F5624" i="3"/>
  <c r="F5623" i="3"/>
  <c r="F5621" i="3"/>
  <c r="F5620" i="3"/>
  <c r="F5619" i="3"/>
  <c r="I236" i="1"/>
  <c r="C236" i="1"/>
  <c r="S240" i="1" l="1"/>
  <c r="E242" i="1"/>
  <c r="R241" i="1"/>
  <c r="S241" i="1"/>
  <c r="R240" i="1"/>
  <c r="S239" i="1"/>
  <c r="S238" i="1"/>
  <c r="R238" i="1"/>
  <c r="P238" i="1"/>
  <c r="S237" i="1"/>
  <c r="R237" i="1"/>
  <c r="Q235" i="1"/>
  <c r="R235" i="1"/>
  <c r="S235" i="1"/>
  <c r="P235" i="1"/>
  <c r="L235" i="1"/>
  <c r="E5598" i="3"/>
  <c r="E5617" i="3"/>
  <c r="E5616" i="3"/>
  <c r="F5616" i="3" s="1"/>
  <c r="E5615" i="3"/>
  <c r="F5614" i="3"/>
  <c r="F5638" i="3" s="1"/>
  <c r="E5613" i="3"/>
  <c r="E5610" i="3"/>
  <c r="F5610" i="3" s="1"/>
  <c r="E5609" i="3"/>
  <c r="E5606" i="3"/>
  <c r="E5603" i="3"/>
  <c r="E5601" i="3"/>
  <c r="E5599" i="3"/>
  <c r="E5597" i="3"/>
  <c r="E5595" i="3"/>
  <c r="E5594" i="3"/>
  <c r="E5612" i="3"/>
  <c r="E5608" i="3"/>
  <c r="E5604" i="3"/>
  <c r="F5604" i="3" s="1"/>
  <c r="F5601" i="3"/>
  <c r="F5599" i="3"/>
  <c r="F5617" i="3"/>
  <c r="F5615" i="3"/>
  <c r="F5613" i="3"/>
  <c r="F5612" i="3"/>
  <c r="F5611" i="3"/>
  <c r="F5609" i="3"/>
  <c r="F5608" i="3"/>
  <c r="F5607" i="3"/>
  <c r="F5606" i="3"/>
  <c r="F5605" i="3"/>
  <c r="F5603" i="3"/>
  <c r="F5602" i="3"/>
  <c r="F5600" i="3"/>
  <c r="F5598" i="3"/>
  <c r="F5597" i="3"/>
  <c r="F5596" i="3"/>
  <c r="F5595" i="3"/>
  <c r="L234" i="1"/>
  <c r="I235" i="1"/>
  <c r="E235" i="1"/>
  <c r="E236" i="1" s="1"/>
  <c r="C235" i="1"/>
  <c r="P234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R234" i="1"/>
  <c r="S234" i="1"/>
  <c r="Q234" i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C234" i="1"/>
  <c r="F5593" i="3"/>
  <c r="F5592" i="3"/>
  <c r="F5591" i="3"/>
  <c r="F5590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4" i="3"/>
  <c r="F5573" i="3"/>
  <c r="F5572" i="3"/>
  <c r="F5571" i="3"/>
  <c r="P233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F5566" i="3" s="1"/>
  <c r="F5565" i="3"/>
  <c r="F5589" i="3" s="1"/>
  <c r="F5562" i="3"/>
  <c r="E5561" i="3"/>
  <c r="E5560" i="3"/>
  <c r="E5558" i="3"/>
  <c r="E5557" i="3"/>
  <c r="F5557" i="3" s="1"/>
  <c r="E5556" i="3"/>
  <c r="F5556" i="3" s="1"/>
  <c r="E5555" i="3"/>
  <c r="E5553" i="3"/>
  <c r="F5553" i="3" s="1"/>
  <c r="E5551" i="3"/>
  <c r="E5550" i="3"/>
  <c r="E5549" i="3"/>
  <c r="E5546" i="3"/>
  <c r="F5569" i="3"/>
  <c r="E5563" i="3"/>
  <c r="Q233" i="1"/>
  <c r="F5568" i="3"/>
  <c r="F5567" i="3"/>
  <c r="F5564" i="3"/>
  <c r="F5563" i="3"/>
  <c r="F5561" i="3"/>
  <c r="F5560" i="3"/>
  <c r="F5559" i="3"/>
  <c r="F5558" i="3"/>
  <c r="F5555" i="3"/>
  <c r="F5554" i="3"/>
  <c r="F5552" i="3"/>
  <c r="F5550" i="3"/>
  <c r="F5549" i="3"/>
  <c r="F5548" i="3"/>
  <c r="F5547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Q228" i="1"/>
  <c r="Q229" i="1"/>
  <c r="Q230" i="1"/>
  <c r="Q231" i="1"/>
  <c r="Q232" i="1"/>
  <c r="E232" i="1"/>
  <c r="E233" i="1" s="1"/>
  <c r="F5523" i="3"/>
  <c r="F5524" i="3"/>
  <c r="F5526" i="3"/>
  <c r="F5527" i="3"/>
  <c r="F5551" i="3" s="1"/>
  <c r="F5575" i="3" s="1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Q227" i="1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Q226" i="1"/>
  <c r="E226" i="1"/>
  <c r="E227" i="1" s="1"/>
  <c r="Q225" i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Q224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Q222" i="1"/>
  <c r="Q223" i="1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E157" i="17" l="1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C146" i="17" l="1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E146" i="17" l="1"/>
  <c r="T145" i="17"/>
  <c r="E159" i="17"/>
  <c r="S145" i="17"/>
  <c r="C147" i="17"/>
  <c r="S146" i="17"/>
  <c r="P226" i="1"/>
  <c r="C227" i="1"/>
  <c r="R226" i="1"/>
  <c r="R217" i="1"/>
  <c r="E219" i="1"/>
  <c r="R218" i="1"/>
  <c r="E160" i="17" l="1"/>
  <c r="C148" i="17"/>
  <c r="S147" i="17"/>
  <c r="E147" i="17"/>
  <c r="T146" i="17"/>
  <c r="P227" i="1"/>
  <c r="C228" i="1"/>
  <c r="R227" i="1"/>
  <c r="E220" i="1"/>
  <c r="R219" i="1"/>
  <c r="E161" i="17" l="1"/>
  <c r="C149" i="17"/>
  <c r="S148" i="17"/>
  <c r="T147" i="17"/>
  <c r="E148" i="17"/>
  <c r="T148" i="17" s="1"/>
  <c r="C229" i="1"/>
  <c r="R228" i="1"/>
  <c r="P228" i="1"/>
  <c r="E221" i="1"/>
  <c r="R220" i="1"/>
  <c r="E162" i="17" l="1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E163" i="17" l="1"/>
  <c r="C151" i="17"/>
  <c r="S150" i="17"/>
  <c r="T150" i="17"/>
  <c r="P230" i="1"/>
  <c r="R230" i="1"/>
  <c r="C231" i="1"/>
  <c r="L211" i="1"/>
  <c r="S151" i="17" l="1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C153" i="17" l="1"/>
  <c r="S152" i="17"/>
  <c r="T152" i="17"/>
  <c r="E165" i="17"/>
  <c r="R232" i="1"/>
  <c r="C233" i="1"/>
  <c r="R233" i="1" s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E166" i="17" l="1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55" i="17" l="1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168" i="17" l="1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E169" i="17" l="1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158" i="17" l="1"/>
  <c r="S157" i="17"/>
  <c r="T157" i="17"/>
  <c r="E170" i="17"/>
  <c r="E204" i="1"/>
  <c r="E171" i="17" l="1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S159" i="17" l="1"/>
  <c r="C160" i="17"/>
  <c r="T159" i="17"/>
  <c r="E172" i="17"/>
  <c r="R205" i="1"/>
  <c r="E206" i="1"/>
  <c r="E207" i="1"/>
  <c r="E198" i="1"/>
  <c r="E4643" i="3"/>
  <c r="S160" i="17" l="1"/>
  <c r="C161" i="17"/>
  <c r="T160" i="17"/>
  <c r="E173" i="17"/>
  <c r="E208" i="1"/>
  <c r="E209" i="1" s="1"/>
  <c r="E210" i="1" s="1"/>
  <c r="E199" i="1"/>
  <c r="P194" i="1"/>
  <c r="I194" i="1"/>
  <c r="K194" i="1"/>
  <c r="J194" i="1" s="1"/>
  <c r="E174" i="17" l="1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S162" i="17" l="1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64" i="17" l="1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E177" i="17" l="1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S165" i="17" l="1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67" i="17" l="1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E180" i="17" l="1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S168" i="17" l="1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70" i="17" l="1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E183" i="17" l="1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72" i="17" l="1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185" i="17" l="1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F5525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5522" i="3" s="1"/>
  <c r="F5546" i="3" s="1"/>
  <c r="F5570" i="3" s="1"/>
  <c r="F5594" i="3" s="1"/>
  <c r="F5618" i="3" s="1"/>
  <c r="F5642" i="3" s="1"/>
  <c r="F5666" i="3" s="1"/>
  <c r="F5690" i="3" s="1"/>
  <c r="F5714" i="3" s="1"/>
  <c r="F573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<sst xmlns="http://schemas.openxmlformats.org/spreadsheetml/2006/main" count="10996" uniqueCount="157">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</sst>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37" fillId="0" borderId="0" xfId="43" applyNumberFormat="1" applyFont="1" applyAlignment="1">
      <alignment horizontal="center"/>
    </xf>
    <xf numFmtId="165" fontId="0" fillId="0" borderId="1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3" fillId="0" borderId="59" xfId="0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44"/>
  <sheetViews>
    <sheetView tabSelected="1" topLeftCell="I1" zoomScale="85" zoomScaleNormal="85" workbookViewId="0">
      <pane ySplit="1" topLeftCell="A221" activePane="bottomLeft" state="frozen"/>
      <selection pane="bottomLeft" activeCell="Q243" sqref="Q243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3"/>
    <col min="7" max="7" width="9.42578125" style="6" customWidth="1"/>
    <col min="8" max="9" width="11.42578125" style="6"/>
    <col min="10" max="10" width="12" style="36" customWidth="1"/>
    <col min="11" max="11" width="13.140625" style="36" customWidth="1"/>
    <col min="12" max="12" width="14.140625" style="6" customWidth="1"/>
    <col min="13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1"/>
      <c r="R14" s="72">
        <f t="shared" ref="R14:R77" si="0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  <c r="R15" s="72">
        <f t="shared" si="0"/>
        <v>0</v>
      </c>
      <c r="S15" s="62">
        <f t="shared" ref="S15:S78" si="1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  <c r="R16" s="72">
        <f t="shared" si="0"/>
        <v>0</v>
      </c>
      <c r="S16" s="62">
        <f t="shared" si="1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2">C17-O17-N17-M17</f>
        <v>1</v>
      </c>
      <c r="Q17" s="1"/>
      <c r="R17" s="72">
        <f t="shared" si="0"/>
        <v>0</v>
      </c>
      <c r="S17" s="62">
        <f t="shared" si="1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2"/>
        <v>6</v>
      </c>
      <c r="Q18" s="1"/>
      <c r="R18" s="72">
        <f t="shared" si="0"/>
        <v>0</v>
      </c>
      <c r="S18" s="62">
        <f t="shared" si="1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2"/>
        <v>10</v>
      </c>
      <c r="Q19" s="1"/>
      <c r="R19" s="72">
        <f t="shared" si="0"/>
        <v>0</v>
      </c>
      <c r="S19" s="62">
        <f t="shared" si="1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2"/>
        <v>20</v>
      </c>
      <c r="Q20" s="1"/>
      <c r="R20" s="72">
        <f t="shared" si="0"/>
        <v>0</v>
      </c>
      <c r="S20" s="62">
        <f t="shared" si="1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2"/>
        <v>17</v>
      </c>
      <c r="Q21" s="1"/>
      <c r="R21" s="72">
        <f t="shared" si="0"/>
        <v>0</v>
      </c>
      <c r="S21" s="62">
        <f t="shared" si="1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2"/>
        <v>30</v>
      </c>
      <c r="Q22" s="1"/>
      <c r="R22" s="72">
        <f t="shared" si="0"/>
        <v>0</v>
      </c>
      <c r="S22" s="62">
        <f t="shared" si="1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2"/>
        <v>55</v>
      </c>
      <c r="Q23" s="1"/>
      <c r="R23" s="72">
        <f t="shared" si="0"/>
        <v>0</v>
      </c>
      <c r="S23" s="62">
        <f t="shared" si="1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2"/>
        <v>150</v>
      </c>
      <c r="Q24" s="1"/>
      <c r="R24" s="72">
        <f t="shared" si="0"/>
        <v>0</v>
      </c>
      <c r="S24" s="62">
        <f t="shared" si="1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2"/>
        <v>175</v>
      </c>
      <c r="Q25" s="1"/>
      <c r="R25" s="72">
        <f t="shared" si="0"/>
        <v>4.9800796812749001E-2</v>
      </c>
      <c r="S25" s="62">
        <f t="shared" si="1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2"/>
        <v>135</v>
      </c>
      <c r="Q26" s="1"/>
      <c r="R26" s="72">
        <f t="shared" si="0"/>
        <v>0</v>
      </c>
      <c r="S26" s="62">
        <f t="shared" si="1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2"/>
        <v>151</v>
      </c>
      <c r="Q27" s="1"/>
      <c r="R27" s="72">
        <f t="shared" si="0"/>
        <v>6.9291338582677164E-2</v>
      </c>
      <c r="S27" s="62">
        <f t="shared" si="1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2"/>
        <v>170</v>
      </c>
      <c r="Q28" s="1">
        <f t="shared" ref="Q28:Q91" si="3">AVERAGE(B15:B28)/AVERAGE(B1:B14)</f>
        <v>12.718112244897959</v>
      </c>
      <c r="R28" s="72">
        <f t="shared" si="0"/>
        <v>9.2657342657342656E-2</v>
      </c>
      <c r="S28" s="62">
        <f t="shared" si="1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2"/>
        <v>269</v>
      </c>
      <c r="Q29" s="1">
        <f t="shared" si="3"/>
        <v>13.907692307692306</v>
      </c>
      <c r="R29" s="72">
        <f t="shared" si="0"/>
        <v>7.8459343794579167E-2</v>
      </c>
      <c r="S29" s="62">
        <f t="shared" si="1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2"/>
        <v>229</v>
      </c>
      <c r="Q30" s="1">
        <f t="shared" si="3"/>
        <v>12.714285714285715</v>
      </c>
      <c r="R30" s="72">
        <f t="shared" si="0"/>
        <v>7.0694087403598976E-2</v>
      </c>
      <c r="S30" s="62">
        <f t="shared" si="1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2"/>
        <v>203</v>
      </c>
      <c r="Q31" s="1">
        <f t="shared" si="3"/>
        <v>10.822916666666666</v>
      </c>
      <c r="R31" s="72">
        <f t="shared" si="0"/>
        <v>8.5308056872037921E-2</v>
      </c>
      <c r="S31" s="62">
        <f t="shared" si="1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2"/>
        <v>143</v>
      </c>
      <c r="Q32" s="1">
        <f t="shared" si="3"/>
        <v>9.0476190476190474</v>
      </c>
      <c r="R32" s="72">
        <f t="shared" si="0"/>
        <v>8.5239085239085244E-2</v>
      </c>
      <c r="S32" s="62">
        <f t="shared" si="1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2"/>
        <v>124</v>
      </c>
      <c r="Q33" s="1">
        <f t="shared" si="3"/>
        <v>7.9866666666666672</v>
      </c>
      <c r="R33" s="72">
        <f t="shared" si="0"/>
        <v>8.3333333333333329E-2</v>
      </c>
      <c r="S33" s="62">
        <f t="shared" si="1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2"/>
        <v>168</v>
      </c>
      <c r="Q34" s="1">
        <f t="shared" si="3"/>
        <v>5.6898148148148149</v>
      </c>
      <c r="R34" s="72">
        <f t="shared" si="0"/>
        <v>7.7127659574468085E-2</v>
      </c>
      <c r="S34" s="62">
        <f t="shared" si="1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2"/>
        <v>175</v>
      </c>
      <c r="Q35" s="1">
        <f t="shared" si="3"/>
        <v>5.0826771653543306</v>
      </c>
      <c r="R35" s="72">
        <f t="shared" si="0"/>
        <v>7.945900253592561E-2</v>
      </c>
      <c r="S35" s="62">
        <f t="shared" si="1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2"/>
        <v>172</v>
      </c>
      <c r="Q36" s="1">
        <f t="shared" si="3"/>
        <v>4.6631578947368419</v>
      </c>
      <c r="R36" s="72">
        <f t="shared" si="0"/>
        <v>7.7607113985448672E-2</v>
      </c>
      <c r="S36" s="62">
        <f t="shared" si="1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2"/>
        <v>184</v>
      </c>
      <c r="Q37" s="1">
        <f t="shared" si="3"/>
        <v>3.6043360433604335</v>
      </c>
      <c r="R37" s="72">
        <f t="shared" si="0"/>
        <v>7.5558982266769464E-2</v>
      </c>
      <c r="S37" s="62">
        <f t="shared" si="1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2"/>
        <v>186</v>
      </c>
      <c r="Q38" s="1">
        <f t="shared" si="3"/>
        <v>2.6714876033057853</v>
      </c>
      <c r="R38" s="72">
        <f t="shared" si="0"/>
        <v>7.179487179487179E-2</v>
      </c>
      <c r="S38" s="62">
        <f t="shared" si="1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2"/>
        <v>207</v>
      </c>
      <c r="Q39" s="1">
        <f t="shared" si="3"/>
        <v>2.3262032085561497</v>
      </c>
      <c r="R39" s="72">
        <f t="shared" si="0"/>
        <v>6.805555555555555E-2</v>
      </c>
      <c r="S39" s="62">
        <f t="shared" si="1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2"/>
        <v>223</v>
      </c>
      <c r="Q40" s="1">
        <f t="shared" si="3"/>
        <v>1.9499241274658576</v>
      </c>
      <c r="R40" s="72">
        <f t="shared" si="0"/>
        <v>7.9146593255333797E-2</v>
      </c>
      <c r="S40" s="62">
        <f t="shared" si="1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2"/>
        <v>310</v>
      </c>
      <c r="Q41" s="1">
        <f t="shared" si="3"/>
        <v>1.9871977240398293</v>
      </c>
      <c r="R41" s="72">
        <f t="shared" si="0"/>
        <v>5.2365930599369087E-2</v>
      </c>
      <c r="S41" s="62">
        <f t="shared" si="1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2"/>
        <v>303</v>
      </c>
      <c r="Q42" s="1">
        <f t="shared" si="3"/>
        <v>1.8096479791395046</v>
      </c>
      <c r="R42" s="72">
        <f t="shared" si="0"/>
        <v>7.07133917396746E-2</v>
      </c>
      <c r="S42" s="62">
        <f t="shared" si="1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2"/>
        <v>303</v>
      </c>
      <c r="Q43" s="1">
        <f t="shared" si="3"/>
        <v>1.4502212389380531</v>
      </c>
      <c r="R43" s="72">
        <f t="shared" si="0"/>
        <v>7.160493827160494E-2</v>
      </c>
      <c r="S43" s="62">
        <f t="shared" si="1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2"/>
        <v>360</v>
      </c>
      <c r="Q44" s="1">
        <f t="shared" si="3"/>
        <v>1.4187946884576097</v>
      </c>
      <c r="R44" s="72">
        <f t="shared" si="0"/>
        <v>6.7164179104477612E-2</v>
      </c>
      <c r="S44" s="62">
        <f t="shared" si="1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2"/>
        <v>403</v>
      </c>
      <c r="Q45" s="1">
        <f t="shared" si="3"/>
        <v>1.3840230991337825</v>
      </c>
      <c r="R45" s="72">
        <f t="shared" si="0"/>
        <v>6.6192560175054704E-2</v>
      </c>
      <c r="S45" s="62">
        <f t="shared" si="1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2"/>
        <v>425</v>
      </c>
      <c r="Q46" s="1">
        <f t="shared" si="3"/>
        <v>1.2315789473684211</v>
      </c>
      <c r="R46" s="72">
        <f t="shared" si="0"/>
        <v>6.6985645933014357E-2</v>
      </c>
      <c r="S46" s="62">
        <f t="shared" si="1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2"/>
        <v>436</v>
      </c>
      <c r="Q47" s="1">
        <f t="shared" si="3"/>
        <v>1.172787979966611</v>
      </c>
      <c r="R47" s="72">
        <f t="shared" si="0"/>
        <v>6.5329218106995879E-2</v>
      </c>
      <c r="S47" s="62">
        <f t="shared" si="1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2"/>
        <v>303</v>
      </c>
      <c r="Q48" s="1">
        <f t="shared" si="3"/>
        <v>1.1293734743694059</v>
      </c>
      <c r="R48" s="72">
        <f t="shared" si="0"/>
        <v>6.1561561561561562E-2</v>
      </c>
      <c r="S48" s="62">
        <f t="shared" si="1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2"/>
        <v>310</v>
      </c>
      <c r="Q49" s="1">
        <f t="shared" si="3"/>
        <v>1.0743609604957398</v>
      </c>
      <c r="R49" s="72">
        <f t="shared" si="0"/>
        <v>6.0869565217391307E-2</v>
      </c>
      <c r="S49" s="62">
        <f t="shared" si="1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2"/>
        <v>299</v>
      </c>
      <c r="Q50" s="1">
        <f t="shared" si="3"/>
        <v>1.0556809631301729</v>
      </c>
      <c r="R50" s="72">
        <f t="shared" si="0"/>
        <v>6.2957540263543194E-2</v>
      </c>
      <c r="S50" s="62">
        <f t="shared" si="1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2"/>
        <v>314</v>
      </c>
      <c r="Q51" s="1">
        <f t="shared" si="3"/>
        <v>1.0744360902255639</v>
      </c>
      <c r="R51" s="72">
        <f t="shared" si="0"/>
        <v>6.1763319189061763E-2</v>
      </c>
      <c r="S51" s="62">
        <f t="shared" si="1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2"/>
        <v>341</v>
      </c>
      <c r="Q52" s="1">
        <f t="shared" si="3"/>
        <v>1.1546790409899457</v>
      </c>
      <c r="R52" s="72">
        <f t="shared" si="0"/>
        <v>6.1538461538461542E-2</v>
      </c>
      <c r="S52" s="62">
        <f t="shared" si="1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2"/>
        <v>348</v>
      </c>
      <c r="Q53" s="1">
        <f t="shared" si="3"/>
        <v>1.1808429118773947</v>
      </c>
      <c r="R53" s="72">
        <f t="shared" si="0"/>
        <v>6.1464690496948561E-2</v>
      </c>
      <c r="S53" s="62">
        <f t="shared" si="1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2"/>
        <v>403</v>
      </c>
      <c r="Q54" s="1">
        <f t="shared" si="3"/>
        <v>1.2700389105058365</v>
      </c>
      <c r="R54" s="72">
        <f t="shared" si="0"/>
        <v>5.9975010412328195E-2</v>
      </c>
      <c r="S54" s="62">
        <f t="shared" si="1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2"/>
        <v>454</v>
      </c>
      <c r="Q55" s="1">
        <f t="shared" si="3"/>
        <v>1.1725125268432355</v>
      </c>
      <c r="R55" s="72">
        <f t="shared" si="0"/>
        <v>5.5868167202572344E-2</v>
      </c>
      <c r="S55" s="62">
        <f t="shared" si="1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2"/>
        <v>479</v>
      </c>
      <c r="Q56" s="1">
        <f t="shared" si="3"/>
        <v>1.2132564841498561</v>
      </c>
      <c r="R56" s="72">
        <f t="shared" si="0"/>
        <v>5.8984374999999999E-2</v>
      </c>
      <c r="S56" s="62">
        <f t="shared" si="1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2"/>
        <v>476</v>
      </c>
      <c r="Q57" s="1">
        <f t="shared" si="3"/>
        <v>1.3165522501906943</v>
      </c>
      <c r="R57" s="72">
        <f t="shared" si="0"/>
        <v>5.8623298033282902E-2</v>
      </c>
      <c r="S57" s="62">
        <f t="shared" si="1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2"/>
        <v>468</v>
      </c>
      <c r="Q58" s="1">
        <f t="shared" si="3"/>
        <v>1.2123830093592514</v>
      </c>
      <c r="R58" s="72">
        <f t="shared" si="0"/>
        <v>5.6451612903225805E-2</v>
      </c>
      <c r="S58" s="62">
        <f t="shared" si="1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2"/>
        <v>497</v>
      </c>
      <c r="Q59" s="1">
        <f t="shared" si="3"/>
        <v>1.1919332406119612</v>
      </c>
      <c r="R59" s="72">
        <f t="shared" si="0"/>
        <v>5.5772646536412077E-2</v>
      </c>
      <c r="S59" s="62">
        <f t="shared" si="1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2"/>
        <v>460</v>
      </c>
      <c r="Q60" s="1">
        <f t="shared" si="3"/>
        <v>1.2528490028490027</v>
      </c>
      <c r="R60" s="72">
        <f t="shared" si="0"/>
        <v>5.3803975325565453E-2</v>
      </c>
      <c r="S60" s="62">
        <f t="shared" si="1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2"/>
        <v>443</v>
      </c>
      <c r="Q61" s="1">
        <f t="shared" si="3"/>
        <v>1.2633451957295374</v>
      </c>
      <c r="R61" s="72">
        <f t="shared" si="0"/>
        <v>5.4904586541680615E-2</v>
      </c>
      <c r="S61" s="62">
        <f t="shared" si="1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2"/>
        <v>485</v>
      </c>
      <c r="Q62" s="1">
        <f t="shared" si="3"/>
        <v>1.3278097982708934</v>
      </c>
      <c r="R62" s="72">
        <f t="shared" si="0"/>
        <v>5.307443365695793E-2</v>
      </c>
      <c r="S62" s="62">
        <f t="shared" si="1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2"/>
        <v>474</v>
      </c>
      <c r="Q63" s="1">
        <f t="shared" si="3"/>
        <v>1.329488103821197</v>
      </c>
      <c r="R63" s="72">
        <f t="shared" si="0"/>
        <v>4.7157622739018086E-2</v>
      </c>
      <c r="S63" s="62">
        <f t="shared" si="1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2"/>
        <v>449</v>
      </c>
      <c r="Q64" s="1">
        <f t="shared" si="3"/>
        <v>1.324305060584462</v>
      </c>
      <c r="R64" s="72">
        <f t="shared" si="0"/>
        <v>4.6909667194928686E-2</v>
      </c>
      <c r="S64" s="62">
        <f t="shared" si="1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2"/>
        <v>441</v>
      </c>
      <c r="Q65" s="1">
        <f t="shared" si="3"/>
        <v>1.3149055283414977</v>
      </c>
      <c r="R65" s="72">
        <f t="shared" si="0"/>
        <v>4.4245049504950493E-2</v>
      </c>
      <c r="S65" s="62">
        <f t="shared" si="1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2"/>
        <v>479</v>
      </c>
      <c r="Q66" s="1">
        <f t="shared" si="3"/>
        <v>1.2880107166778301</v>
      </c>
      <c r="R66" s="72">
        <f t="shared" si="0"/>
        <v>4.5290941811637675E-2</v>
      </c>
      <c r="S66" s="62">
        <f t="shared" si="1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2"/>
        <v>473</v>
      </c>
      <c r="Q67" s="1">
        <f t="shared" si="3"/>
        <v>1.2582738481505515</v>
      </c>
      <c r="R67" s="72">
        <f t="shared" si="0"/>
        <v>4.3291284403669722E-2</v>
      </c>
      <c r="S67" s="62">
        <f t="shared" si="1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2"/>
        <v>567</v>
      </c>
      <c r="Q68" s="1">
        <f t="shared" si="3"/>
        <v>1.2297794117647058</v>
      </c>
      <c r="R68" s="72">
        <f t="shared" si="0"/>
        <v>4.3732590529247911E-2</v>
      </c>
      <c r="S68" s="62">
        <f t="shared" si="1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2"/>
        <v>613</v>
      </c>
      <c r="Q69" s="1">
        <f t="shared" si="3"/>
        <v>1.2203907203907203</v>
      </c>
      <c r="R69" s="72">
        <f t="shared" si="0"/>
        <v>4.3022317827372952E-2</v>
      </c>
      <c r="S69" s="62">
        <f t="shared" si="1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2"/>
        <v>670</v>
      </c>
      <c r="Q70" s="1">
        <f t="shared" si="3"/>
        <v>1.2737529691211402</v>
      </c>
      <c r="R70" s="72">
        <f t="shared" si="0"/>
        <v>4.2137718396711203E-2</v>
      </c>
      <c r="S70" s="62">
        <f t="shared" si="1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2"/>
        <v>716</v>
      </c>
      <c r="Q71" s="1">
        <f t="shared" si="3"/>
        <v>1.3198146002317497</v>
      </c>
      <c r="R71" s="72">
        <f t="shared" si="0"/>
        <v>4.1443198439785472E-2</v>
      </c>
      <c r="S71" s="62">
        <f t="shared" si="1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2"/>
        <v>735</v>
      </c>
      <c r="Q72" s="1">
        <f t="shared" si="3"/>
        <v>1.4483372921615201</v>
      </c>
      <c r="R72" s="72">
        <f t="shared" si="0"/>
        <v>3.6953242835595777E-2</v>
      </c>
      <c r="S72" s="62">
        <f t="shared" si="1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2"/>
        <v>798</v>
      </c>
      <c r="Q73" s="1">
        <f t="shared" si="3"/>
        <v>1.515169194865811</v>
      </c>
      <c r="R73" s="72">
        <f t="shared" si="0"/>
        <v>3.5294117647058823E-2</v>
      </c>
      <c r="S73" s="62">
        <f t="shared" si="1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2"/>
        <v>805</v>
      </c>
      <c r="Q74" s="1">
        <f t="shared" si="3"/>
        <v>1.5400795906765208</v>
      </c>
      <c r="R74" s="72">
        <f t="shared" si="0"/>
        <v>3.4780578898225958E-2</v>
      </c>
      <c r="S74" s="62">
        <f t="shared" si="1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2"/>
        <v>903</v>
      </c>
      <c r="Q75" s="1">
        <f t="shared" si="3"/>
        <v>1.6614084507042253</v>
      </c>
      <c r="R75" s="72">
        <f t="shared" si="0"/>
        <v>3.2904772281542823E-2</v>
      </c>
      <c r="S75" s="62">
        <f t="shared" si="1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2"/>
        <v>964</v>
      </c>
      <c r="Q76" s="1">
        <f t="shared" si="3"/>
        <v>1.6966901790558873</v>
      </c>
      <c r="R76" s="72">
        <f t="shared" si="0"/>
        <v>3.160270880361174E-2</v>
      </c>
      <c r="S76" s="62">
        <f t="shared" si="1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2"/>
        <v>1118</v>
      </c>
      <c r="Q77" s="1">
        <f t="shared" si="3"/>
        <v>1.7825379609544467</v>
      </c>
      <c r="R77" s="72">
        <f t="shared" si="0"/>
        <v>3.125E-2</v>
      </c>
      <c r="S77" s="62">
        <f t="shared" si="1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2"/>
        <v>1107</v>
      </c>
      <c r="Q78" s="1">
        <f t="shared" si="3"/>
        <v>1.8762109795479009</v>
      </c>
      <c r="R78" s="72">
        <f t="shared" ref="R78:R141" si="4">G78/(C78-E78-F78)</f>
        <v>3.0486613249951142E-2</v>
      </c>
      <c r="S78" s="62">
        <f t="shared" si="1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2"/>
        <v>1232</v>
      </c>
      <c r="Q79" s="1">
        <f t="shared" si="3"/>
        <v>2.0170303352847259</v>
      </c>
      <c r="R79" s="72">
        <f t="shared" si="4"/>
        <v>2.9363487142075505E-2</v>
      </c>
      <c r="S79" s="6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2"/>
        <v>1351</v>
      </c>
      <c r="Q80" s="1">
        <f t="shared" si="3"/>
        <v>2.1196047841913677</v>
      </c>
      <c r="R80" s="72">
        <f t="shared" si="4"/>
        <v>2.924076607387141E-2</v>
      </c>
      <c r="S80" s="6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6">C81-O81-N81-M81</f>
        <v>1496</v>
      </c>
      <c r="Q81" s="1">
        <f t="shared" si="3"/>
        <v>2.3522434244455903</v>
      </c>
      <c r="R81" s="72">
        <f t="shared" si="4"/>
        <v>2.66542693320936E-2</v>
      </c>
      <c r="S81" s="6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6"/>
        <v>1739</v>
      </c>
      <c r="Q82" s="1">
        <f t="shared" si="3"/>
        <v>2.5107125062282014</v>
      </c>
      <c r="R82" s="72">
        <f t="shared" si="4"/>
        <v>2.5874962608435536E-2</v>
      </c>
      <c r="S82" s="6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6"/>
        <v>1907</v>
      </c>
      <c r="Q83" s="1">
        <f t="shared" si="3"/>
        <v>2.7903951975987997</v>
      </c>
      <c r="R83" s="72">
        <f t="shared" si="4"/>
        <v>2.5222965440356744E-2</v>
      </c>
      <c r="S83" s="6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6"/>
        <v>2053</v>
      </c>
      <c r="Q84" s="1">
        <f t="shared" si="3"/>
        <v>2.8172494172494171</v>
      </c>
      <c r="R84" s="72">
        <f t="shared" si="4"/>
        <v>2.3737704918032787E-2</v>
      </c>
      <c r="S84" s="6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6"/>
        <v>2052</v>
      </c>
      <c r="Q85" s="1">
        <f t="shared" si="3"/>
        <v>2.7879719051799823</v>
      </c>
      <c r="R85" s="72">
        <f t="shared" si="4"/>
        <v>2.5394045534150613E-2</v>
      </c>
      <c r="S85" s="6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6"/>
        <v>2102</v>
      </c>
      <c r="Q86" s="1">
        <f t="shared" si="3"/>
        <v>2.7330873308733086</v>
      </c>
      <c r="R86" s="72">
        <f t="shared" si="4"/>
        <v>2.9800929789009417E-2</v>
      </c>
      <c r="S86" s="6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6"/>
        <v>2187</v>
      </c>
      <c r="Q87" s="1">
        <f t="shared" si="3"/>
        <v>2.7169811320754715</v>
      </c>
      <c r="R87" s="72">
        <f t="shared" si="4"/>
        <v>2.8811252268602542E-2</v>
      </c>
      <c r="S87" s="6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6"/>
        <v>2234</v>
      </c>
      <c r="Q88" s="1">
        <f t="shared" si="3"/>
        <v>2.7943890734588406</v>
      </c>
      <c r="R88" s="72">
        <f t="shared" si="4"/>
        <v>2.7535615564533277E-2</v>
      </c>
      <c r="S88" s="6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6"/>
        <v>2316</v>
      </c>
      <c r="Q89" s="1">
        <f t="shared" si="3"/>
        <v>2.6931163106137679</v>
      </c>
      <c r="R89" s="72">
        <f t="shared" si="4"/>
        <v>2.4900500051025613E-2</v>
      </c>
      <c r="S89" s="6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7">C90-O90-N90-M90</f>
        <v>2491</v>
      </c>
      <c r="Q90" s="1">
        <f t="shared" si="3"/>
        <v>2.6894787336104891</v>
      </c>
      <c r="R90" s="72">
        <f t="shared" si="4"/>
        <v>2.4734299516908212E-2</v>
      </c>
      <c r="S90" s="6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7"/>
        <v>2598</v>
      </c>
      <c r="Q91" s="1">
        <f t="shared" si="3"/>
        <v>2.6723456038941285</v>
      </c>
      <c r="R91" s="72">
        <f t="shared" si="4"/>
        <v>2.5206190343805022E-2</v>
      </c>
      <c r="S91" s="6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7"/>
        <v>2646</v>
      </c>
      <c r="Q92" s="1">
        <f t="shared" ref="Q92:Q115" si="8">AVERAGE(B79:B92)/AVERAGE(B65:B78)</f>
        <v>2.5946643717728053</v>
      </c>
      <c r="R92" s="72">
        <f t="shared" si="4"/>
        <v>2.430493273542601E-2</v>
      </c>
      <c r="S92" s="6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7"/>
        <v>2895</v>
      </c>
      <c r="Q93" s="1">
        <f t="shared" si="8"/>
        <v>2.5094986807387865</v>
      </c>
      <c r="R93" s="72">
        <f t="shared" si="4"/>
        <v>2.4295596423148304E-2</v>
      </c>
      <c r="S93" s="6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7"/>
        <v>3133</v>
      </c>
      <c r="Q94" s="1">
        <f t="shared" si="8"/>
        <v>2.4499509322865554</v>
      </c>
      <c r="R94" s="72">
        <f t="shared" si="4"/>
        <v>2.3085408131106207E-2</v>
      </c>
      <c r="S94" s="6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7"/>
        <v>3329</v>
      </c>
      <c r="Q95" s="1">
        <f t="shared" si="8"/>
        <v>2.2510414382810788</v>
      </c>
      <c r="R95" s="72">
        <f t="shared" si="4"/>
        <v>1.8369009702984964E-2</v>
      </c>
      <c r="S95" s="6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1">
        <f t="shared" si="8"/>
        <v>2.0617185949593173</v>
      </c>
      <c r="R96" s="72">
        <f t="shared" si="4"/>
        <v>1.750439367311072E-2</v>
      </c>
      <c r="S96" s="6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1">
        <f t="shared" si="8"/>
        <v>1.912513445679455</v>
      </c>
      <c r="R97" s="72">
        <f t="shared" si="4"/>
        <v>1.7078061259766301E-2</v>
      </c>
      <c r="S97" s="6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1">
        <f t="shared" si="8"/>
        <v>1.773787853715042</v>
      </c>
      <c r="R98" s="72">
        <f t="shared" si="4"/>
        <v>1.5851602023608771E-2</v>
      </c>
      <c r="S98" s="6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1">
        <f t="shared" si="8"/>
        <v>1.7309085183435677</v>
      </c>
      <c r="R99" s="72">
        <f t="shared" si="4"/>
        <v>1.7253727456214597E-2</v>
      </c>
      <c r="S99" s="6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1">
        <f t="shared" si="8"/>
        <v>1.7302730273027302</v>
      </c>
      <c r="R100" s="72">
        <f t="shared" si="4"/>
        <v>1.6383230548807078E-2</v>
      </c>
      <c r="S100" s="6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1">
        <f t="shared" si="8"/>
        <v>1.7083333333333333</v>
      </c>
      <c r="R101" s="72">
        <f t="shared" si="4"/>
        <v>1.9208037825059102E-2</v>
      </c>
      <c r="S101" s="6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1">
        <f t="shared" si="8"/>
        <v>1.6738441215323647</v>
      </c>
      <c r="R102" s="72">
        <f t="shared" si="4"/>
        <v>1.6512734396865379E-2</v>
      </c>
      <c r="S102" s="6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1">
        <f t="shared" si="8"/>
        <v>1.6803072273986399</v>
      </c>
      <c r="R103" s="72">
        <f t="shared" si="4"/>
        <v>1.4817950889077053E-2</v>
      </c>
      <c r="S103" s="62">
        <f t="shared" si="5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1">
        <f t="shared" si="8"/>
        <v>1.6743162901307969</v>
      </c>
      <c r="R104" s="72">
        <f t="shared" si="4"/>
        <v>1.4711789515967062E-2</v>
      </c>
      <c r="S104" s="6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1">
        <f t="shared" si="8"/>
        <v>1.6764571948998179</v>
      </c>
      <c r="R105" s="72">
        <f t="shared" si="4"/>
        <v>1.5153694912003069E-2</v>
      </c>
      <c r="S105" s="6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1">
        <f t="shared" si="8"/>
        <v>1.699281370923162</v>
      </c>
      <c r="R106" s="72">
        <f t="shared" si="4"/>
        <v>1.4884917535719208E-2</v>
      </c>
      <c r="S106" s="6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1">
        <f t="shared" si="8"/>
        <v>1.6654400168226262</v>
      </c>
      <c r="R107" s="72">
        <f t="shared" si="4"/>
        <v>1.5152180596424964E-2</v>
      </c>
      <c r="S107" s="6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1">
        <f t="shared" si="8"/>
        <v>1.6306829561385938</v>
      </c>
      <c r="R108" s="72">
        <f t="shared" si="4"/>
        <v>1.4758759093569697E-2</v>
      </c>
      <c r="S108" s="6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1">
        <f t="shared" si="8"/>
        <v>1.6862764195967663</v>
      </c>
      <c r="R109" s="72">
        <f t="shared" si="4"/>
        <v>1.4730282060620777E-2</v>
      </c>
      <c r="S109" s="6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1">
        <f t="shared" si="8"/>
        <v>1.7839060544807006</v>
      </c>
      <c r="R110" s="72">
        <f t="shared" si="4"/>
        <v>1.3795717263596741E-2</v>
      </c>
      <c r="S110" s="6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1">
        <f t="shared" si="8"/>
        <v>1.7982752155980501</v>
      </c>
      <c r="R111" s="72">
        <f t="shared" si="4"/>
        <v>1.3862106603601964E-2</v>
      </c>
      <c r="S111" s="6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1">
        <f t="shared" si="8"/>
        <v>1.8650060639985073</v>
      </c>
      <c r="R112" s="72">
        <f t="shared" si="4"/>
        <v>1.3870933929632089E-2</v>
      </c>
      <c r="S112" s="6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1">
        <f t="shared" si="8"/>
        <v>1.9385972891840264</v>
      </c>
      <c r="R113" s="72">
        <f t="shared" si="4"/>
        <v>1.3657957244655582E-2</v>
      </c>
      <c r="S113" s="6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1">
        <f t="shared" si="8"/>
        <v>1.9468527830761226</v>
      </c>
      <c r="R114" s="72">
        <f t="shared" si="4"/>
        <v>1.3396448239589135E-2</v>
      </c>
      <c r="S114" s="6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1">
        <f t="shared" si="8"/>
        <v>1.9797577567612412</v>
      </c>
      <c r="R115" s="72">
        <f t="shared" si="4"/>
        <v>1.3462161604854627E-2</v>
      </c>
      <c r="S115" s="6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1">
        <f t="shared" ref="Q116:Q179" si="10">AVERAGE(B103:B116)/AVERAGE(B89:B102)</f>
        <v>1.9796385447083893</v>
      </c>
      <c r="R116" s="72">
        <f t="shared" si="4"/>
        <v>1.4350430208871728E-2</v>
      </c>
      <c r="S116" s="6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1">
        <f t="shared" si="10"/>
        <v>1.9916822780067442</v>
      </c>
      <c r="R117" s="72">
        <f t="shared" si="4"/>
        <v>1.4479095270733379E-2</v>
      </c>
      <c r="S117" s="62">
        <f t="shared" si="5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1">
        <f t="shared" si="10"/>
        <v>1.9493643917335415</v>
      </c>
      <c r="R118" s="72">
        <f t="shared" si="4"/>
        <v>1.4888882784385903E-2</v>
      </c>
      <c r="S118" s="6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1">
        <f t="shared" si="10"/>
        <v>1.9255738150210511</v>
      </c>
      <c r="R119" s="72">
        <f t="shared" si="4"/>
        <v>1.4243118044832543E-2</v>
      </c>
      <c r="S119" s="62">
        <f t="shared" si="5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1">
        <f t="shared" si="10"/>
        <v>1.9182173064411192</v>
      </c>
      <c r="R120" s="72">
        <f t="shared" si="4"/>
        <v>1.4245745527349264E-2</v>
      </c>
      <c r="S120" s="6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1">
        <f t="shared" si="10"/>
        <v>1.9173611111111111</v>
      </c>
      <c r="R121" s="72">
        <f t="shared" si="4"/>
        <v>1.4334420028370206E-2</v>
      </c>
      <c r="S121" s="62">
        <f t="shared" si="5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1">
        <f t="shared" si="10"/>
        <v>1.9433185949398182</v>
      </c>
      <c r="R122" s="72">
        <f t="shared" si="4"/>
        <v>1.4258281325012001E-2</v>
      </c>
      <c r="S122" s="62">
        <f t="shared" si="5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1">
        <f t="shared" si="10"/>
        <v>1.873216658002657</v>
      </c>
      <c r="R123" s="72">
        <f t="shared" si="4"/>
        <v>1.4308132557924859E-2</v>
      </c>
      <c r="S123" s="62">
        <f t="shared" si="5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1">
        <f t="shared" si="10"/>
        <v>1.792262450763503</v>
      </c>
      <c r="R124" s="72">
        <f t="shared" si="4"/>
        <v>1.4024967524604241E-2</v>
      </c>
      <c r="S124" s="62">
        <f t="shared" si="5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0"/>
        <v>1.7812760633861551</v>
      </c>
      <c r="R125" s="72">
        <f t="shared" si="4"/>
        <v>1.4212276988206833E-2</v>
      </c>
      <c r="S125" s="62">
        <f t="shared" si="5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0"/>
        <v>1.7522885298384276</v>
      </c>
      <c r="R126" s="72">
        <f t="shared" si="4"/>
        <v>1.4149067542960001E-2</v>
      </c>
      <c r="S126" s="62">
        <f t="shared" si="5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0"/>
        <v>1.6665571770447185</v>
      </c>
      <c r="R127" s="72">
        <f t="shared" si="4"/>
        <v>1.41070330120976E-2</v>
      </c>
      <c r="S127" s="6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0"/>
        <v>1.6125584502338011</v>
      </c>
      <c r="R128" s="72">
        <f t="shared" si="4"/>
        <v>1.4266784452296819E-2</v>
      </c>
      <c r="S128" s="6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0"/>
        <v>1.5579534026148174</v>
      </c>
      <c r="R129" s="72">
        <f t="shared" si="4"/>
        <v>1.4269916209433882E-2</v>
      </c>
      <c r="S129" s="6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0"/>
        <v>1.5243182905437729</v>
      </c>
      <c r="R130" s="72">
        <f t="shared" si="4"/>
        <v>1.3243178362807074E-2</v>
      </c>
      <c r="S130" s="6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0"/>
        <v>1.456676323413221</v>
      </c>
      <c r="R131" s="72">
        <f t="shared" si="4"/>
        <v>1.3483499420170214E-2</v>
      </c>
      <c r="S131" s="6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0"/>
        <v>1.4486866552515574</v>
      </c>
      <c r="R132" s="72">
        <f t="shared" si="4"/>
        <v>1.3225416949664176E-2</v>
      </c>
      <c r="S132" s="6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0"/>
        <v>1.4188531527719002</v>
      </c>
      <c r="R133" s="72">
        <f t="shared" si="4"/>
        <v>1.3573908546945408E-2</v>
      </c>
      <c r="S133" s="62">
        <f t="shared" si="5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si="10"/>
        <v>1.3905301360105822</v>
      </c>
      <c r="R134" s="72">
        <f t="shared" si="4"/>
        <v>1.3453797298506128E-2</v>
      </c>
      <c r="S134" s="6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0"/>
        <v>1.395410095156564</v>
      </c>
      <c r="R135" s="72">
        <f t="shared" si="4"/>
        <v>1.3392547359655818E-2</v>
      </c>
      <c r="S135" s="6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0"/>
        <v>1.3892558066045191</v>
      </c>
      <c r="R136" s="72">
        <f t="shared" si="4"/>
        <v>1.3052175362560427E-2</v>
      </c>
      <c r="S136" s="62">
        <f t="shared" si="5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0"/>
        <v>1.382720236810459</v>
      </c>
      <c r="R137" s="72">
        <f t="shared" si="4"/>
        <v>1.2609117361784675E-2</v>
      </c>
      <c r="S137" s="62">
        <f t="shared" si="5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0"/>
        <v>1.4004094412331407</v>
      </c>
      <c r="R138" s="72">
        <f t="shared" si="4"/>
        <v>1.2221017774675913E-2</v>
      </c>
      <c r="S138" s="6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0"/>
        <v>1.3821549806859419</v>
      </c>
      <c r="R139" s="72">
        <f t="shared" si="4"/>
        <v>1.2157157821744199E-2</v>
      </c>
      <c r="S139" s="6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0"/>
        <v>1.3994576077647731</v>
      </c>
      <c r="R140" s="72">
        <f t="shared" si="4"/>
        <v>1.2262612140277292E-2</v>
      </c>
      <c r="S140" s="62">
        <f t="shared" si="5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0"/>
        <v>1.4170514697601082</v>
      </c>
      <c r="R141" s="72">
        <f t="shared" si="4"/>
        <v>1.2220105153073649E-2</v>
      </c>
      <c r="S141" s="6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0"/>
        <v>1.4552057442695387</v>
      </c>
      <c r="R142" s="72">
        <f t="shared" ref="R142:R147" si="13">G142/(C142-E142-F142)</f>
        <v>1.2175602281899393E-2</v>
      </c>
      <c r="S142" s="6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0"/>
        <v>1.4758600285107182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 t="shared" si="10"/>
        <v>1.4995030860968719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 t="shared" si="10"/>
        <v>1.5357853139447786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10"/>
        <v>1.5296366151137935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 t="shared" si="10"/>
        <v>1.5499962717172471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si="10"/>
        <v>1.564797424201771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0"/>
        <v>1.5678621991505426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0"/>
        <v>1.543047562723199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0"/>
        <v>1.5741587315746046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0"/>
        <v>1.5478759996560325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0"/>
        <v>1.5654337193792212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0"/>
        <v>1.531566815576362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0"/>
        <v>1.5094778254649501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0"/>
        <v>1.4692084337578049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0"/>
        <v>1.4357675274735291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0"/>
        <v>1.3982384233016483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0"/>
        <v>1.3816955651603573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0"/>
        <v>1.3723900963403808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0"/>
        <v>1.3465627555683839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0"/>
        <v>1.3476119216859956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0"/>
        <v>1.3177015922704152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0"/>
        <v>1.3204888187862081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0"/>
        <v>1.284870378240544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0"/>
        <v>1.2657463090790404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0"/>
        <v>1.2518360225597469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0"/>
        <v>1.233984177299486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0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0"/>
        <v>1.2160618146875699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0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0"/>
        <v>1.1939367322422723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0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0"/>
        <v>1.1674874971440177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0"/>
        <v>1.1561845125237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0"/>
        <v>1.1364339009457503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0"/>
        <v>1.1379302083208549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1">
        <f t="shared" si="10"/>
        <v>1.1391161444750098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1">
        <f t="shared" si="10"/>
        <v>1.1219983343358164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1">
        <f t="shared" si="10"/>
        <v>1.1275869158024578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1">
        <f t="shared" si="10"/>
        <v>1.1343633481435174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0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1">
        <f t="shared" si="10"/>
        <v>1.1490755135117257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0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1">
        <f t="shared" ref="Q180:Q220" si="31">AVERAGE(B167:B180)/AVERAGE(B153:B166)</f>
        <v>1.2023042738794096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0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2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1">
        <f t="shared" si="31"/>
        <v>1.2115669263264799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0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2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1">
        <f t="shared" si="31"/>
        <v>1.2288936859147328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0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2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1">
        <f t="shared" si="31"/>
        <v>1.2838833984607558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0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2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1">
        <f t="shared" si="31"/>
        <v>1.3228570501238761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0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2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1">
        <f t="shared" si="31"/>
        <v>1.3754851756417363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0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2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1">
        <f t="shared" si="31"/>
        <v>1.4059273484447994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0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2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1">
        <f t="shared" si="31"/>
        <v>1.4227770280401859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0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2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1">
        <f t="shared" si="31"/>
        <v>1.4212293796254383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0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2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1">
        <f t="shared" si="31"/>
        <v>1.4284459777324761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0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2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1">
        <f t="shared" si="31"/>
        <v>1.41382900854648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0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2"/>
        <v>1273.516799999983</v>
      </c>
      <c r="K191" s="7">
        <f t="shared" ref="K191:K202" si="33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1">
        <f t="shared" si="31"/>
        <v>1.4220628602104792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0">
        <v>390098</v>
      </c>
      <c r="G192" s="4">
        <v>2829</v>
      </c>
      <c r="H192" s="4">
        <v>27171</v>
      </c>
      <c r="I192" s="4">
        <f t="shared" ref="I192:I202" si="34">I191+H192</f>
        <v>1485790</v>
      </c>
      <c r="J192" s="7">
        <f t="shared" si="32"/>
        <v>1293.7232000000076</v>
      </c>
      <c r="K192" s="7">
        <f t="shared" si="33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1">
        <f t="shared" si="31"/>
        <v>1.3984785561044739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5">C192+B193</f>
        <v>524198</v>
      </c>
      <c r="D193" s="4">
        <f>55+195</f>
        <v>250</v>
      </c>
      <c r="E193" s="7">
        <f t="shared" ref="E193:E206" si="36">E192+D193</f>
        <v>10907</v>
      </c>
      <c r="F193" s="200">
        <v>400121</v>
      </c>
      <c r="G193" s="4">
        <v>2880</v>
      </c>
      <c r="H193" s="4">
        <v>28057</v>
      </c>
      <c r="I193" s="4">
        <f t="shared" si="34"/>
        <v>1513847</v>
      </c>
      <c r="J193" s="7">
        <f t="shared" si="32"/>
        <v>1315.7488000000594</v>
      </c>
      <c r="K193" s="7">
        <f t="shared" si="33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1">
        <f t="shared" si="31"/>
        <v>1.3807906351947803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5"/>
        <v>535705</v>
      </c>
      <c r="D194" s="1">
        <f>87+154</f>
        <v>241</v>
      </c>
      <c r="E194" s="21">
        <f t="shared" si="36"/>
        <v>11148</v>
      </c>
      <c r="F194" s="200">
        <v>409771</v>
      </c>
      <c r="G194" s="1">
        <v>3093</v>
      </c>
      <c r="H194" s="4">
        <v>26254</v>
      </c>
      <c r="I194" s="4">
        <f t="shared" si="34"/>
        <v>1540101</v>
      </c>
      <c r="J194" s="7">
        <f t="shared" ref="J194:J202" si="37">L194-K194</f>
        <v>1338.017600000021</v>
      </c>
      <c r="K194" s="7">
        <f t="shared" si="33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1">
        <f t="shared" si="31"/>
        <v>1.3114299273537036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5"/>
        <v>546481</v>
      </c>
      <c r="D195" s="1">
        <f>57+58</f>
        <v>115</v>
      </c>
      <c r="E195" s="21">
        <f t="shared" si="36"/>
        <v>11263</v>
      </c>
      <c r="F195" s="200">
        <v>419513</v>
      </c>
      <c r="G195" s="1">
        <v>2962</v>
      </c>
      <c r="H195" s="4">
        <v>23140</v>
      </c>
      <c r="I195" s="4">
        <f t="shared" si="34"/>
        <v>1563241</v>
      </c>
      <c r="J195" s="7">
        <f t="shared" si="37"/>
        <v>1355.5903999999864</v>
      </c>
      <c r="K195" s="7">
        <f t="shared" si="33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1">
        <f t="shared" si="31"/>
        <v>1.2951961405041956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5"/>
        <v>555537</v>
      </c>
      <c r="D196" s="1">
        <f>44+45</f>
        <v>89</v>
      </c>
      <c r="E196" s="21">
        <f t="shared" si="36"/>
        <v>11352</v>
      </c>
      <c r="F196" s="200">
        <v>428953</v>
      </c>
      <c r="G196" s="1">
        <v>2984</v>
      </c>
      <c r="H196" s="4">
        <v>17955</v>
      </c>
      <c r="I196" s="4">
        <f t="shared" si="34"/>
        <v>1581196</v>
      </c>
      <c r="J196" s="7">
        <f t="shared" si="37"/>
        <v>1368.1983999999939</v>
      </c>
      <c r="K196" s="7">
        <f t="shared" si="33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1">
        <f t="shared" si="31"/>
        <v>1.2920681205371649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5"/>
        <v>565446</v>
      </c>
      <c r="D197" s="4">
        <f>60+254</f>
        <v>314</v>
      </c>
      <c r="E197" s="7">
        <f t="shared" si="36"/>
        <v>11666</v>
      </c>
      <c r="F197" s="200">
        <v>438883</v>
      </c>
      <c r="G197" s="4">
        <v>2992</v>
      </c>
      <c r="H197" s="4">
        <v>21207</v>
      </c>
      <c r="I197" s="4">
        <f t="shared" si="34"/>
        <v>1602403</v>
      </c>
      <c r="J197" s="7">
        <f t="shared" si="37"/>
        <v>1385.3168000000296</v>
      </c>
      <c r="K197" s="7">
        <f t="shared" si="33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1">
        <f t="shared" si="31"/>
        <v>1.245360807358632</v>
      </c>
      <c r="R197" s="72">
        <f t="shared" si="22"/>
        <v>2.6040714727103405E-2</v>
      </c>
      <c r="S197" s="62">
        <f t="shared" ref="S197:S210" si="38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5"/>
        <v>577338</v>
      </c>
      <c r="D198" s="4">
        <f>43+142</f>
        <v>185</v>
      </c>
      <c r="E198" s="7">
        <f t="shared" si="36"/>
        <v>11851</v>
      </c>
      <c r="F198" s="200">
        <v>448263</v>
      </c>
      <c r="G198" s="4">
        <v>3049</v>
      </c>
      <c r="H198" s="4">
        <v>25791</v>
      </c>
      <c r="I198" s="4">
        <f t="shared" si="34"/>
        <v>1628194</v>
      </c>
      <c r="J198" s="7">
        <f t="shared" si="37"/>
        <v>1407.344000000041</v>
      </c>
      <c r="K198" s="7">
        <f t="shared" si="33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1">
        <f t="shared" si="31"/>
        <v>1.2193943061837036</v>
      </c>
      <c r="R198" s="72">
        <f t="shared" si="22"/>
        <v>2.6010032075342932E-2</v>
      </c>
      <c r="S198" s="62">
        <f t="shared" si="38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5"/>
        <v>589012</v>
      </c>
      <c r="D199" s="4">
        <f>58+206</f>
        <v>264</v>
      </c>
      <c r="E199" s="7">
        <f t="shared" si="36"/>
        <v>12115</v>
      </c>
      <c r="F199" s="200">
        <v>456347</v>
      </c>
      <c r="G199" s="4">
        <v>3118</v>
      </c>
      <c r="H199" s="4">
        <v>25422</v>
      </c>
      <c r="I199" s="4">
        <f t="shared" si="34"/>
        <v>1653616</v>
      </c>
      <c r="J199" s="7">
        <f t="shared" si="37"/>
        <v>1429.5023999999976</v>
      </c>
      <c r="K199" s="7">
        <f t="shared" si="33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1"/>
        <v>1.1843842134800378</v>
      </c>
      <c r="R199" s="72">
        <f t="shared" si="22"/>
        <v>2.5864786395686436E-2</v>
      </c>
      <c r="S199" s="62">
        <f t="shared" si="38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5"/>
        <v>601713</v>
      </c>
      <c r="D200" s="4">
        <v>345</v>
      </c>
      <c r="E200" s="7">
        <f t="shared" si="36"/>
        <v>12460</v>
      </c>
      <c r="F200" s="200">
        <v>467286</v>
      </c>
      <c r="G200" s="4">
        <v>3108</v>
      </c>
      <c r="H200" s="4">
        <v>28633</v>
      </c>
      <c r="I200" s="4">
        <f t="shared" si="34"/>
        <v>1682249</v>
      </c>
      <c r="J200" s="7">
        <f t="shared" si="37"/>
        <v>1451.9024000000209</v>
      </c>
      <c r="K200" s="7">
        <f t="shared" si="33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1"/>
        <v>1.1550178798901116</v>
      </c>
      <c r="R200" s="72">
        <f t="shared" si="22"/>
        <v>2.5482302590044848E-2</v>
      </c>
      <c r="S200" s="62">
        <f t="shared" si="38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5"/>
        <v>613658</v>
      </c>
      <c r="D201" s="4">
        <f>31+166</f>
        <v>197</v>
      </c>
      <c r="E201" s="7">
        <f t="shared" si="36"/>
        <v>12657</v>
      </c>
      <c r="F201" s="200">
        <v>478077</v>
      </c>
      <c r="G201" s="4">
        <v>3225</v>
      </c>
      <c r="H201" s="4">
        <v>25698</v>
      </c>
      <c r="I201" s="4">
        <f t="shared" si="34"/>
        <v>1707947</v>
      </c>
      <c r="J201" s="7">
        <f t="shared" si="37"/>
        <v>1474.3456000000006</v>
      </c>
      <c r="K201" s="7">
        <f t="shared" si="33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1"/>
        <v>1.1425560264681305</v>
      </c>
      <c r="R201" s="72">
        <f t="shared" si="22"/>
        <v>2.6235722885685465E-2</v>
      </c>
      <c r="S201" s="62">
        <f t="shared" si="38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5"/>
        <v>622934</v>
      </c>
      <c r="D202" s="4">
        <f>49+94</f>
        <v>143</v>
      </c>
      <c r="E202" s="7">
        <f t="shared" si="36"/>
        <v>12800</v>
      </c>
      <c r="F202" s="200">
        <v>488231</v>
      </c>
      <c r="G202" s="4">
        <v>3213</v>
      </c>
      <c r="H202" s="4">
        <v>21093</v>
      </c>
      <c r="I202" s="4">
        <f t="shared" si="34"/>
        <v>1729040</v>
      </c>
      <c r="J202" s="7">
        <f t="shared" si="37"/>
        <v>1492.0336000000825</v>
      </c>
      <c r="K202" s="7">
        <f t="shared" si="33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188">
        <f t="shared" si="31"/>
        <v>1.119433498266718</v>
      </c>
      <c r="R202" s="155">
        <f t="shared" si="22"/>
        <v>2.6357021566327327E-2</v>
      </c>
      <c r="S202" s="156">
        <f t="shared" si="38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5"/>
        <v>631365</v>
      </c>
      <c r="D203" s="4">
        <f>110+143</f>
        <v>253</v>
      </c>
      <c r="E203" s="7">
        <f t="shared" si="36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189">
        <f t="shared" si="31"/>
        <v>1.1166220231560766</v>
      </c>
      <c r="R203" s="190">
        <f t="shared" si="22"/>
        <v>2.7190181184494677E-2</v>
      </c>
      <c r="S203" s="191">
        <f t="shared" si="38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5"/>
        <v>640147</v>
      </c>
      <c r="D204" s="4">
        <v>427</v>
      </c>
      <c r="E204" s="7">
        <f t="shared" si="36"/>
        <v>13480</v>
      </c>
      <c r="F204" s="200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92">
        <v>6401</v>
      </c>
      <c r="N204" s="192">
        <v>138272</v>
      </c>
      <c r="O204" s="193">
        <v>417376</v>
      </c>
      <c r="P204" s="167">
        <f t="shared" ref="P204:P231" si="41">C204-O204-N204-M204</f>
        <v>78098</v>
      </c>
      <c r="Q204" s="189">
        <f t="shared" si="31"/>
        <v>1.109377278693306</v>
      </c>
      <c r="R204" s="190">
        <f t="shared" si="22"/>
        <v>2.8678114204429995E-2</v>
      </c>
      <c r="S204" s="191">
        <f t="shared" si="38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5"/>
        <v>652174</v>
      </c>
      <c r="D205" s="4">
        <v>469</v>
      </c>
      <c r="E205" s="7">
        <f t="shared" si="36"/>
        <v>13949</v>
      </c>
      <c r="F205" s="200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94">
        <v>6521</v>
      </c>
      <c r="N205" s="194">
        <v>140870</v>
      </c>
      <c r="O205" s="194">
        <v>425218</v>
      </c>
      <c r="P205" s="167">
        <f t="shared" si="41"/>
        <v>79565</v>
      </c>
      <c r="Q205" s="189">
        <f t="shared" si="31"/>
        <v>1.0836491068121599</v>
      </c>
      <c r="R205" s="190">
        <f t="shared" si="22"/>
        <v>2.7785812871393506E-2</v>
      </c>
      <c r="S205" s="191">
        <f t="shared" si="38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5"/>
        <v>664799</v>
      </c>
      <c r="D206" s="4">
        <v>423</v>
      </c>
      <c r="E206" s="7">
        <f t="shared" si="36"/>
        <v>14372</v>
      </c>
      <c r="F206" s="200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94">
        <v>6647</v>
      </c>
      <c r="N206" s="194">
        <v>143597</v>
      </c>
      <c r="O206" s="194">
        <v>433450</v>
      </c>
      <c r="P206" s="167">
        <f t="shared" si="41"/>
        <v>81105</v>
      </c>
      <c r="Q206" s="189">
        <f t="shared" si="31"/>
        <v>1.0731923577636253</v>
      </c>
      <c r="R206" s="190">
        <f t="shared" ref="R206:R211" si="42">G206/(C206-E206-F206)</f>
        <v>2.8101263796511955E-2</v>
      </c>
      <c r="S206" s="191">
        <f t="shared" si="38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5"/>
        <v>678266</v>
      </c>
      <c r="D207" s="4">
        <v>391</v>
      </c>
      <c r="E207" s="7">
        <f t="shared" ref="E207:E230" si="43">E206+D207</f>
        <v>14763</v>
      </c>
      <c r="F207" s="200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94">
        <v>6740</v>
      </c>
      <c r="N207" s="194">
        <v>143045</v>
      </c>
      <c r="O207" s="194">
        <v>449054</v>
      </c>
      <c r="P207" s="167">
        <f t="shared" si="41"/>
        <v>79427</v>
      </c>
      <c r="Q207" s="189">
        <f t="shared" si="31"/>
        <v>1.0706155407001794</v>
      </c>
      <c r="R207" s="190">
        <f t="shared" si="42"/>
        <v>2.7790472288321225E-2</v>
      </c>
      <c r="S207" s="191">
        <f t="shared" si="38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0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94">
        <v>6798</v>
      </c>
      <c r="N208" s="194">
        <v>145075</v>
      </c>
      <c r="O208" s="194">
        <v>458440</v>
      </c>
      <c r="P208" s="167">
        <f t="shared" si="41"/>
        <v>80922</v>
      </c>
      <c r="Q208" s="189">
        <f t="shared" si="31"/>
        <v>1.082354414875849</v>
      </c>
      <c r="R208" s="190">
        <f t="shared" si="42"/>
        <v>2.7845336390252971E-2</v>
      </c>
      <c r="S208" s="191">
        <f t="shared" si="38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0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94">
        <v>6835</v>
      </c>
      <c r="N209" s="194">
        <v>146416</v>
      </c>
      <c r="O209" s="194">
        <v>464913</v>
      </c>
      <c r="P209" s="167">
        <f t="shared" si="41"/>
        <v>84320</v>
      </c>
      <c r="Q209" s="189">
        <f t="shared" si="31"/>
        <v>1.0740901392159294</v>
      </c>
      <c r="R209" s="190">
        <f t="shared" si="42"/>
        <v>2.7849110407579741E-2</v>
      </c>
      <c r="S209" s="191">
        <f t="shared" si="38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0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94">
        <v>6874</v>
      </c>
      <c r="N210" s="194">
        <v>147538</v>
      </c>
      <c r="O210" s="194">
        <v>469799</v>
      </c>
      <c r="P210" s="167">
        <f t="shared" si="41"/>
        <v>87114</v>
      </c>
      <c r="Q210" s="189">
        <f t="shared" si="31"/>
        <v>1.0589826729476384</v>
      </c>
      <c r="R210" s="190">
        <f t="shared" si="42"/>
        <v>2.779963283503803E-2</v>
      </c>
      <c r="S210" s="191">
        <f t="shared" si="38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0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94">
        <v>6984</v>
      </c>
      <c r="N211" s="194">
        <v>149538</v>
      </c>
      <c r="O211" s="194">
        <v>478119</v>
      </c>
      <c r="P211" s="167">
        <f t="shared" si="41"/>
        <v>88491</v>
      </c>
      <c r="Q211" s="189">
        <f t="shared" si="31"/>
        <v>1.0675305156691106</v>
      </c>
      <c r="R211" s="190">
        <f t="shared" si="42"/>
        <v>2.8226301571709234E-2</v>
      </c>
      <c r="S211" s="191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0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94">
        <v>7083</v>
      </c>
      <c r="N212" s="194">
        <v>151787</v>
      </c>
      <c r="O212" s="194">
        <v>487971</v>
      </c>
      <c r="P212" s="167">
        <f t="shared" si="41"/>
        <v>89768</v>
      </c>
      <c r="Q212" s="189">
        <f t="shared" si="31"/>
        <v>1.0682231269156734</v>
      </c>
      <c r="R212" s="190">
        <f t="shared" ref="R212:R220" si="45">G212/(C212-E212-F212)</f>
        <v>2.8070384552348882E-2</v>
      </c>
      <c r="S212" s="191">
        <f t="shared" ref="S212:S214" si="46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0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3">
        <f t="shared" si="39"/>
        <v>1057787</v>
      </c>
      <c r="M213" s="194">
        <v>7162</v>
      </c>
      <c r="N213" s="194">
        <v>153949</v>
      </c>
      <c r="O213" s="194">
        <v>498519</v>
      </c>
      <c r="P213" s="167">
        <f t="shared" si="41"/>
        <v>91371</v>
      </c>
      <c r="Q213" s="189">
        <f t="shared" si="31"/>
        <v>1.0810798184730379</v>
      </c>
      <c r="R213" s="190">
        <f t="shared" si="45"/>
        <v>2.7198393343853107E-2</v>
      </c>
      <c r="S213" s="191">
        <f t="shared" si="46"/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200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3">
        <f t="shared" ref="L214:L225" si="47">K214+J214</f>
        <v>1070187</v>
      </c>
      <c r="M214" s="194">
        <v>7226</v>
      </c>
      <c r="N214" s="194">
        <v>155848</v>
      </c>
      <c r="O214" s="194">
        <v>508945</v>
      </c>
      <c r="P214" s="167">
        <f t="shared" si="41"/>
        <v>92983</v>
      </c>
      <c r="Q214" s="189">
        <f t="shared" si="31"/>
        <v>1.0848686177457396</v>
      </c>
      <c r="R214" s="190">
        <f t="shared" si="45"/>
        <v>2.6834023196349612E-2</v>
      </c>
      <c r="S214" s="191">
        <f t="shared" si="46"/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0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7"/>
        <v>1084221</v>
      </c>
      <c r="M215" s="194">
        <v>7323</v>
      </c>
      <c r="N215" s="194">
        <v>158001</v>
      </c>
      <c r="O215" s="194">
        <v>520163</v>
      </c>
      <c r="P215" s="167">
        <f t="shared" si="41"/>
        <v>94202</v>
      </c>
      <c r="Q215" s="189">
        <f t="shared" si="31"/>
        <v>1.0939213050811722</v>
      </c>
      <c r="R215" s="190">
        <f t="shared" si="45"/>
        <v>2.6477240501601221E-2</v>
      </c>
      <c r="S215" s="62">
        <f t="shared" ref="S215:S232" si="48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0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4">
        <f t="shared" si="47"/>
        <v>1097194</v>
      </c>
      <c r="M216" s="194">
        <v>7387</v>
      </c>
      <c r="N216" s="194">
        <v>159347</v>
      </c>
      <c r="O216" s="194">
        <v>527803</v>
      </c>
      <c r="P216" s="167">
        <f t="shared" si="41"/>
        <v>96281</v>
      </c>
      <c r="Q216" s="189">
        <f t="shared" si="31"/>
        <v>1.1108729024403154</v>
      </c>
      <c r="R216" s="190">
        <f t="shared" si="45"/>
        <v>2.6543999110567568E-2</v>
      </c>
      <c r="S216" s="62">
        <f t="shared" si="48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0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7"/>
        <v>1104572</v>
      </c>
      <c r="M217" s="194">
        <v>7425</v>
      </c>
      <c r="N217" s="194">
        <v>160401</v>
      </c>
      <c r="O217" s="194">
        <v>533573</v>
      </c>
      <c r="P217" s="167">
        <f t="shared" si="41"/>
        <v>97087</v>
      </c>
      <c r="Q217" s="189">
        <f t="shared" si="31"/>
        <v>1.0953510778447038</v>
      </c>
      <c r="R217" s="190">
        <f t="shared" si="45"/>
        <v>2.8053977272727272E-2</v>
      </c>
      <c r="S217" s="62">
        <f t="shared" si="48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0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7"/>
        <v>1114977</v>
      </c>
      <c r="M218" s="194">
        <v>7503</v>
      </c>
      <c r="N218" s="194">
        <v>162682</v>
      </c>
      <c r="O218" s="194">
        <v>544916</v>
      </c>
      <c r="P218" s="167">
        <f t="shared" si="41"/>
        <v>94627</v>
      </c>
      <c r="Q218" s="189">
        <f t="shared" si="31"/>
        <v>1.1146378335743394</v>
      </c>
      <c r="R218" s="190">
        <f t="shared" si="45"/>
        <v>2.856814558407423E-2</v>
      </c>
      <c r="S218" s="62">
        <f t="shared" si="48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0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7"/>
        <v>1128945</v>
      </c>
      <c r="M219" s="194">
        <v>7581</v>
      </c>
      <c r="N219" s="194">
        <v>165737</v>
      </c>
      <c r="O219" s="194">
        <v>556132</v>
      </c>
      <c r="P219" s="167">
        <f t="shared" si="41"/>
        <v>95018</v>
      </c>
      <c r="Q219" s="189">
        <f t="shared" si="31"/>
        <v>1.1324700933350862</v>
      </c>
      <c r="R219" s="190">
        <f t="shared" si="45"/>
        <v>2.8144578990250892E-2</v>
      </c>
      <c r="S219" s="62">
        <f t="shared" si="48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0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7"/>
        <v>1144203</v>
      </c>
      <c r="M220" s="194">
        <v>7669</v>
      </c>
      <c r="N220" s="194">
        <v>168593</v>
      </c>
      <c r="O220" s="194">
        <v>568246</v>
      </c>
      <c r="P220" s="167">
        <f t="shared" si="41"/>
        <v>96407</v>
      </c>
      <c r="Q220" s="189">
        <f t="shared" si="31"/>
        <v>1.1548135811050058</v>
      </c>
      <c r="R220" s="190">
        <f t="shared" si="45"/>
        <v>2.7013145000506878E-2</v>
      </c>
      <c r="S220" s="62">
        <f t="shared" si="48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0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7"/>
        <v>1157212</v>
      </c>
      <c r="M221" s="194">
        <v>7761</v>
      </c>
      <c r="N221" s="194">
        <v>171322</v>
      </c>
      <c r="O221" s="194">
        <v>578517</v>
      </c>
      <c r="P221" s="167">
        <f t="shared" si="41"/>
        <v>98769</v>
      </c>
      <c r="Q221" s="189">
        <f t="shared" ref="Q221:Q227" si="49">AVERAGE(B208:B221)/AVERAGE(B194:B207)</f>
        <v>1.1560025443310746</v>
      </c>
      <c r="R221" s="190">
        <f t="shared" ref="R221:R227" si="50">G221/(C221-E221-F221)</f>
        <v>2.7167960219063939E-2</v>
      </c>
      <c r="S221" s="62">
        <f t="shared" si="48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200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4">
        <f t="shared" si="47"/>
        <v>1173663</v>
      </c>
      <c r="M222" s="194">
        <v>7817</v>
      </c>
      <c r="N222" s="194">
        <v>174267</v>
      </c>
      <c r="O222" s="194">
        <v>588788</v>
      </c>
      <c r="P222" s="167">
        <f t="shared" si="41"/>
        <v>100596</v>
      </c>
      <c r="Q222" s="189">
        <f t="shared" si="49"/>
        <v>1.158831093679676</v>
      </c>
      <c r="R222" s="190">
        <f t="shared" si="50"/>
        <v>2.7080865369979418E-2</v>
      </c>
      <c r="S222" s="62">
        <f t="shared" si="48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200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5">
        <f t="shared" si="47"/>
        <v>1184318</v>
      </c>
      <c r="M223" s="194">
        <v>7886</v>
      </c>
      <c r="N223" s="194">
        <v>176230</v>
      </c>
      <c r="O223" s="194">
        <v>594738</v>
      </c>
      <c r="P223" s="167">
        <f t="shared" si="41"/>
        <v>105028</v>
      </c>
      <c r="Q223" s="189">
        <f t="shared" si="49"/>
        <v>1.1627853310513259</v>
      </c>
      <c r="R223" s="190">
        <f t="shared" si="50"/>
        <v>2.7844626981443545E-2</v>
      </c>
      <c r="S223" s="62">
        <f t="shared" si="48"/>
        <v>3.7349235386820619E-2</v>
      </c>
    </row>
    <row r="224" spans="1:20" x14ac:dyDescent="0.25">
      <c r="A224" s="197">
        <v>44115</v>
      </c>
      <c r="B224" s="198">
        <v>10324</v>
      </c>
      <c r="C224" s="207">
        <f t="shared" si="44"/>
        <v>894206</v>
      </c>
      <c r="D224" s="198">
        <v>287</v>
      </c>
      <c r="E224" s="199">
        <f t="shared" si="43"/>
        <v>23868</v>
      </c>
      <c r="F224" s="200">
        <v>721380</v>
      </c>
      <c r="G224" s="201">
        <v>4237</v>
      </c>
      <c r="H224" s="198">
        <v>14237</v>
      </c>
      <c r="I224" s="207">
        <v>2225558</v>
      </c>
      <c r="J224" s="199">
        <v>1567</v>
      </c>
      <c r="K224" s="199">
        <v>1189378</v>
      </c>
      <c r="L224" s="208">
        <f t="shared" si="47"/>
        <v>1190945</v>
      </c>
      <c r="M224" s="203">
        <v>7932</v>
      </c>
      <c r="N224" s="203">
        <v>177557</v>
      </c>
      <c r="O224" s="203">
        <v>599352</v>
      </c>
      <c r="P224" s="198">
        <f t="shared" si="41"/>
        <v>109365</v>
      </c>
      <c r="Q224" s="204">
        <f t="shared" si="49"/>
        <v>1.1739094153593344</v>
      </c>
      <c r="R224" s="205">
        <f t="shared" si="50"/>
        <v>2.8444259455685496E-2</v>
      </c>
      <c r="S224" s="156">
        <f t="shared" si="48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06">
        <v>732582</v>
      </c>
      <c r="G225" s="16">
        <v>4287</v>
      </c>
      <c r="H225" s="4">
        <v>13956</v>
      </c>
      <c r="I225" s="16">
        <f t="shared" ref="I225:I231" si="51">I224+H225</f>
        <v>2239514</v>
      </c>
      <c r="J225" s="7">
        <v>1567</v>
      </c>
      <c r="K225" s="7">
        <v>1196534</v>
      </c>
      <c r="L225" s="12">
        <f t="shared" si="47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1">
        <f t="shared" si="49"/>
        <v>1.1453014218129702</v>
      </c>
      <c r="R225" s="72">
        <f t="shared" si="50"/>
        <v>2.9170806058709055E-2</v>
      </c>
      <c r="S225" s="62">
        <f t="shared" si="48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06">
        <v>742235</v>
      </c>
      <c r="G226" s="16">
        <v>4294</v>
      </c>
      <c r="H226" s="16">
        <v>20544</v>
      </c>
      <c r="I226" s="16">
        <f t="shared" si="51"/>
        <v>2260058</v>
      </c>
      <c r="J226" s="7">
        <v>1574</v>
      </c>
      <c r="K226" s="7">
        <v>1207475</v>
      </c>
      <c r="L226" s="7">
        <f t="shared" ref="L226:L229" si="52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1">
        <f t="shared" si="49"/>
        <v>1.1328239290266275</v>
      </c>
      <c r="R226" s="72">
        <f t="shared" si="50"/>
        <v>2.8583029907674282E-2</v>
      </c>
      <c r="S226" s="62">
        <f t="shared" si="48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06">
        <v>751146</v>
      </c>
      <c r="G227" s="16">
        <v>4316</v>
      </c>
      <c r="H227" s="4">
        <v>23519</v>
      </c>
      <c r="I227" s="16">
        <f t="shared" si="51"/>
        <v>2283577</v>
      </c>
      <c r="J227" s="7">
        <v>1574</v>
      </c>
      <c r="K227" s="7">
        <v>1219715</v>
      </c>
      <c r="L227" s="7">
        <f t="shared" si="52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1">
        <f t="shared" si="49"/>
        <v>1.1171499299335139</v>
      </c>
      <c r="R227" s="72">
        <f t="shared" si="50"/>
        <v>2.7684413085311096E-2</v>
      </c>
      <c r="S227" s="62">
        <f t="shared" si="48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06">
        <v>764859</v>
      </c>
      <c r="G228" s="16">
        <v>4278</v>
      </c>
      <c r="H228" s="4">
        <v>27662</v>
      </c>
      <c r="I228" s="16">
        <f t="shared" si="51"/>
        <v>2311239</v>
      </c>
      <c r="J228" s="7">
        <v>1575</v>
      </c>
      <c r="K228" s="7">
        <v>1234321</v>
      </c>
      <c r="L228" s="7">
        <f t="shared" si="52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1">
        <f t="shared" ref="Q228:Q232" si="53">AVERAGE(B215:B228)/AVERAGE(B201:B214)</f>
        <v>1.1272100386431421</v>
      </c>
      <c r="R228" s="72">
        <f t="shared" ref="R228:R232" si="54">G228/(C228-E228-F228)</f>
        <v>2.692903274540167E-2</v>
      </c>
      <c r="S228" s="62">
        <f t="shared" si="48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06">
        <v>778501</v>
      </c>
      <c r="G229" s="16">
        <v>4346</v>
      </c>
      <c r="H229" s="4">
        <v>27412</v>
      </c>
      <c r="I229" s="16">
        <f t="shared" si="51"/>
        <v>2338651</v>
      </c>
      <c r="J229" s="7">
        <v>1597</v>
      </c>
      <c r="K229" s="7">
        <v>1248101</v>
      </c>
      <c r="L229" s="7">
        <f t="shared" si="52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1">
        <f t="shared" si="53"/>
        <v>1.1197908824255711</v>
      </c>
      <c r="R229" s="72">
        <f t="shared" si="54"/>
        <v>2.6929058722201912E-2</v>
      </c>
      <c r="S229" s="62">
        <f t="shared" si="48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06">
        <v>791174</v>
      </c>
      <c r="G230" s="16">
        <v>4386</v>
      </c>
      <c r="H230" s="4">
        <v>20955</v>
      </c>
      <c r="I230" s="16">
        <f t="shared" si="51"/>
        <v>2359606</v>
      </c>
      <c r="J230" s="7">
        <v>1611</v>
      </c>
      <c r="K230" s="7">
        <v>1260920</v>
      </c>
      <c r="L230" s="7">
        <f>J230+K230</f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1">
        <f t="shared" si="53"/>
        <v>1.1216137332920351</v>
      </c>
      <c r="R230" s="72">
        <f t="shared" si="54"/>
        <v>2.7100672882644075E-2</v>
      </c>
      <c r="S230" s="62">
        <f t="shared" si="48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5">C230+B231</f>
        <v>989680</v>
      </c>
      <c r="D231" s="4">
        <v>161</v>
      </c>
      <c r="E231" s="7">
        <f t="shared" ref="E231:E240" si="56">E230+D231</f>
        <v>26265</v>
      </c>
      <c r="F231" s="206">
        <v>803965</v>
      </c>
      <c r="G231" s="16">
        <v>4387</v>
      </c>
      <c r="H231" s="4">
        <v>13890</v>
      </c>
      <c r="I231" s="16">
        <f t="shared" si="51"/>
        <v>2373496</v>
      </c>
      <c r="J231" s="7">
        <v>1617</v>
      </c>
      <c r="K231" s="7">
        <v>1269203</v>
      </c>
      <c r="L231" s="4">
        <f>J231+K231</f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1">
        <f t="shared" si="53"/>
        <v>1.1440453324238127</v>
      </c>
      <c r="R231" s="72">
        <f t="shared" si="54"/>
        <v>2.751332706177485E-2</v>
      </c>
      <c r="S231" s="62">
        <f t="shared" si="48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5"/>
        <v>1002662</v>
      </c>
      <c r="D232" s="4">
        <v>448</v>
      </c>
      <c r="E232" s="7">
        <f t="shared" si="56"/>
        <v>26713</v>
      </c>
      <c r="F232" s="206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1">
        <f t="shared" si="53"/>
        <v>1.1377100028894747</v>
      </c>
      <c r="R232" s="72">
        <f t="shared" si="54"/>
        <v>2.7501221024157495E-2</v>
      </c>
      <c r="S232" s="62">
        <f t="shared" si="48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5"/>
        <v>1018999</v>
      </c>
      <c r="D233" s="4">
        <v>383</v>
      </c>
      <c r="E233" s="7">
        <f t="shared" si="56"/>
        <v>27096</v>
      </c>
      <c r="F233" s="206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1">
        <f t="shared" ref="Q233:Q234" si="57">AVERAGE(B220:B233)/AVERAGE(B206:B219)</f>
        <v>1.1290642738574761</v>
      </c>
      <c r="R233" s="72">
        <f t="shared" ref="R233" si="58">G233/(C233-E233-F233)</f>
        <v>2.7431959372842915E-2</v>
      </c>
      <c r="S233" s="62">
        <f>E233/C213</f>
        <v>3.6079845432962138E-2</v>
      </c>
    </row>
    <row r="234" spans="1:19" x14ac:dyDescent="0.25">
      <c r="A234" s="158">
        <v>44125</v>
      </c>
      <c r="B234" s="220">
        <v>18326</v>
      </c>
      <c r="C234" s="16">
        <f t="shared" si="55"/>
        <v>1037325</v>
      </c>
      <c r="D234" s="4">
        <v>423</v>
      </c>
      <c r="E234" s="7">
        <f t="shared" si="56"/>
        <v>27519</v>
      </c>
      <c r="F234" s="206">
        <v>840520</v>
      </c>
      <c r="G234" s="16">
        <v>4573</v>
      </c>
      <c r="H234" s="16">
        <v>38340</v>
      </c>
      <c r="I234" s="16">
        <f t="shared" ref="I234:I239" si="59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1">
        <f t="shared" si="57"/>
        <v>1.1152308705625837</v>
      </c>
      <c r="R234" s="72">
        <f t="shared" ref="R234" si="60">G234/(C234-E234-F234)</f>
        <v>2.7013456517372966E-2</v>
      </c>
      <c r="S234" s="62">
        <f>E234/C214</f>
        <v>3.5972454973973923E-2</v>
      </c>
    </row>
    <row r="235" spans="1:19" x14ac:dyDescent="0.25">
      <c r="A235" s="158">
        <v>44126</v>
      </c>
      <c r="B235" s="16">
        <v>16325</v>
      </c>
      <c r="C235" s="16">
        <f t="shared" si="55"/>
        <v>1053650</v>
      </c>
      <c r="D235" s="4">
        <v>437</v>
      </c>
      <c r="E235" s="7">
        <f t="shared" si="56"/>
        <v>27956</v>
      </c>
      <c r="F235" s="206">
        <v>851854</v>
      </c>
      <c r="G235" s="16">
        <v>4611</v>
      </c>
      <c r="H235" s="4">
        <v>39196</v>
      </c>
      <c r="I235" s="16">
        <f t="shared" si="59"/>
        <v>2741416</v>
      </c>
      <c r="J235" s="7">
        <v>1832</v>
      </c>
      <c r="K235" s="7">
        <v>1332741</v>
      </c>
      <c r="L235" s="7">
        <f>K235+J235</f>
        <v>1334573</v>
      </c>
      <c r="M235" s="4">
        <v>8614</v>
      </c>
      <c r="N235" s="4">
        <v>205085</v>
      </c>
      <c r="O235" s="4">
        <v>714929</v>
      </c>
      <c r="P235" s="16">
        <f>C235-M235-N235-O235</f>
        <v>125022</v>
      </c>
      <c r="Q235" s="1">
        <f t="shared" ref="Q235:Q238" si="61">AVERAGE(B222:B235)/AVERAGE(B208:B221)</f>
        <v>1.1076792642459701</v>
      </c>
      <c r="R235" s="72">
        <f t="shared" ref="R235" si="62">G235/(C235-E235-F235)</f>
        <v>2.6524390243902438E-2</v>
      </c>
      <c r="S235" s="62">
        <f>E235/C215</f>
        <v>3.5855321801384912E-2</v>
      </c>
    </row>
    <row r="236" spans="1:19" x14ac:dyDescent="0.25">
      <c r="A236" s="158">
        <v>44127</v>
      </c>
      <c r="B236" s="16">
        <v>15718</v>
      </c>
      <c r="C236" s="16">
        <f t="shared" si="55"/>
        <v>1069368</v>
      </c>
      <c r="D236" s="4">
        <v>382</v>
      </c>
      <c r="E236" s="7">
        <f t="shared" si="56"/>
        <v>28338</v>
      </c>
      <c r="F236" s="206">
        <v>866695</v>
      </c>
      <c r="G236" s="16">
        <v>4696</v>
      </c>
      <c r="H236" s="16">
        <v>35671</v>
      </c>
      <c r="I236" s="16">
        <f t="shared" si="59"/>
        <v>2777087</v>
      </c>
      <c r="J236" s="7">
        <v>1839</v>
      </c>
      <c r="K236" s="7">
        <v>1348372</v>
      </c>
      <c r="L236" s="7">
        <f t="shared" ref="L236:L243" si="63">K236+J236</f>
        <v>1350211</v>
      </c>
      <c r="M236" s="4">
        <v>8671</v>
      </c>
      <c r="N236" s="9">
        <v>208116</v>
      </c>
      <c r="O236" s="9">
        <v>727467</v>
      </c>
      <c r="P236" s="16">
        <f t="shared" ref="P236:P243" si="64">C236-M236-N236-O236</f>
        <v>125114</v>
      </c>
      <c r="Q236" s="1">
        <f t="shared" si="61"/>
        <v>1.0980231145239774</v>
      </c>
      <c r="R236" s="72">
        <f t="shared" ref="R236:R238" si="65">G236/(C236-E236-F236)</f>
        <v>2.6936644965153297E-2</v>
      </c>
      <c r="S236" s="62">
        <f t="shared" ref="S236:S238" si="66">E236/C216</f>
        <v>3.5833782235609207E-2</v>
      </c>
    </row>
    <row r="237" spans="1:19" x14ac:dyDescent="0.25">
      <c r="A237" s="158">
        <v>44128</v>
      </c>
      <c r="B237" s="16">
        <v>11968</v>
      </c>
      <c r="C237" s="16">
        <f t="shared" si="55"/>
        <v>1081336</v>
      </c>
      <c r="D237" s="4">
        <v>274</v>
      </c>
      <c r="E237" s="7">
        <f t="shared" si="56"/>
        <v>28612</v>
      </c>
      <c r="F237" s="206">
        <v>881113</v>
      </c>
      <c r="G237" s="16">
        <v>4850</v>
      </c>
      <c r="H237" s="4">
        <v>27027</v>
      </c>
      <c r="I237" s="16">
        <f t="shared" si="59"/>
        <v>2804114</v>
      </c>
      <c r="J237" s="7">
        <v>1868</v>
      </c>
      <c r="K237" s="7">
        <v>1359984</v>
      </c>
      <c r="L237" s="7">
        <f t="shared" si="63"/>
        <v>1361852</v>
      </c>
      <c r="M237" s="4">
        <v>8708</v>
      </c>
      <c r="N237" s="9">
        <v>210053</v>
      </c>
      <c r="O237" s="9">
        <v>735763</v>
      </c>
      <c r="P237" s="16">
        <f t="shared" si="64"/>
        <v>126812</v>
      </c>
      <c r="Q237" s="1">
        <f t="shared" si="61"/>
        <v>1.0885125525088479</v>
      </c>
      <c r="R237" s="72">
        <f t="shared" si="65"/>
        <v>2.8261591622914615E-2</v>
      </c>
      <c r="S237" s="62">
        <f t="shared" si="66"/>
        <v>3.5832813599737501E-2</v>
      </c>
    </row>
    <row r="238" spans="1:19" x14ac:dyDescent="0.25">
      <c r="A238" s="158">
        <v>44129</v>
      </c>
      <c r="B238" s="16">
        <v>9253</v>
      </c>
      <c r="C238" s="16">
        <f t="shared" si="55"/>
        <v>1090589</v>
      </c>
      <c r="D238" s="4">
        <v>283</v>
      </c>
      <c r="E238" s="7">
        <f t="shared" si="56"/>
        <v>28895</v>
      </c>
      <c r="F238" s="206">
        <v>894819</v>
      </c>
      <c r="G238" s="16">
        <v>4863</v>
      </c>
      <c r="H238" s="4">
        <v>20303</v>
      </c>
      <c r="I238" s="16">
        <f t="shared" si="59"/>
        <v>2824417</v>
      </c>
      <c r="J238" s="7">
        <v>1904</v>
      </c>
      <c r="K238" s="7">
        <v>1367953</v>
      </c>
      <c r="L238" s="7">
        <f t="shared" si="63"/>
        <v>1369857</v>
      </c>
      <c r="M238" s="4">
        <v>8749</v>
      </c>
      <c r="N238" s="4">
        <v>211123</v>
      </c>
      <c r="O238" s="4">
        <v>741313</v>
      </c>
      <c r="P238" s="4">
        <f t="shared" si="64"/>
        <v>129404</v>
      </c>
      <c r="Q238" s="1">
        <f t="shared" si="61"/>
        <v>1.0738294300665461</v>
      </c>
      <c r="R238" s="72">
        <f t="shared" si="65"/>
        <v>2.9141573033707867E-2</v>
      </c>
      <c r="S238" s="62">
        <f t="shared" si="66"/>
        <v>3.5684822557698385E-2</v>
      </c>
    </row>
    <row r="239" spans="1:19" x14ac:dyDescent="0.25">
      <c r="A239" s="158">
        <v>44130</v>
      </c>
      <c r="B239" s="4">
        <v>11712</v>
      </c>
      <c r="C239" s="16">
        <f t="shared" si="55"/>
        <v>1102301</v>
      </c>
      <c r="D239" s="4">
        <v>405</v>
      </c>
      <c r="E239" s="7">
        <f t="shared" si="56"/>
        <v>29300</v>
      </c>
      <c r="F239" s="206">
        <v>909586</v>
      </c>
      <c r="G239" s="4">
        <v>5038</v>
      </c>
      <c r="H239" s="4">
        <v>26448</v>
      </c>
      <c r="I239" s="16">
        <f t="shared" si="59"/>
        <v>2850865</v>
      </c>
      <c r="J239" s="7">
        <v>1956</v>
      </c>
      <c r="K239" s="7">
        <v>1378916</v>
      </c>
      <c r="L239" s="4">
        <f t="shared" si="63"/>
        <v>1380872</v>
      </c>
      <c r="M239" s="9">
        <v>8816</v>
      </c>
      <c r="N239" s="9">
        <v>213578</v>
      </c>
      <c r="O239" s="9">
        <v>753406</v>
      </c>
      <c r="P239" s="4">
        <f t="shared" si="64"/>
        <v>126501</v>
      </c>
      <c r="Q239" s="1">
        <f t="shared" ref="Q239" si="67">AVERAGE(B226:B239)/AVERAGE(B212:B225)</f>
        <v>1.0995193745224199</v>
      </c>
      <c r="R239" s="72">
        <f t="shared" ref="R239" si="68">G239/(C239-E239-F239)</f>
        <v>3.0829483217574886E-2</v>
      </c>
      <c r="S239" s="62">
        <f t="shared" ref="S239" si="69">E239/C219</f>
        <v>3.5538068184574778E-2</v>
      </c>
    </row>
    <row r="240" spans="1:19" x14ac:dyDescent="0.25">
      <c r="A240" s="158">
        <v>44131</v>
      </c>
      <c r="B240" s="4">
        <v>14308</v>
      </c>
      <c r="C240" s="16">
        <f t="shared" si="55"/>
        <v>1116609</v>
      </c>
      <c r="D240" s="4">
        <v>425</v>
      </c>
      <c r="E240" s="7">
        <f t="shared" si="56"/>
        <v>29725</v>
      </c>
      <c r="F240" s="206">
        <v>921344</v>
      </c>
      <c r="G240" s="16">
        <v>4952</v>
      </c>
      <c r="H240" s="4">
        <v>32847</v>
      </c>
      <c r="I240" s="16">
        <v>2882949</v>
      </c>
      <c r="J240" s="7">
        <v>2043</v>
      </c>
      <c r="K240" s="7">
        <v>1392805</v>
      </c>
      <c r="L240" s="4">
        <f t="shared" si="63"/>
        <v>1394848</v>
      </c>
      <c r="M240" s="4">
        <v>8868</v>
      </c>
      <c r="N240" s="4">
        <v>216480</v>
      </c>
      <c r="O240" s="4">
        <v>765831</v>
      </c>
      <c r="P240" s="4">
        <f t="shared" si="64"/>
        <v>125430</v>
      </c>
      <c r="Q240" s="1">
        <f t="shared" ref="Q240" si="70">AVERAGE(B227:B240)/AVERAGE(B213:B226)</f>
        <v>1.1061266114639796</v>
      </c>
      <c r="R240" s="72">
        <f t="shared" ref="R240" si="71">G240/(C240-E240-F240)</f>
        <v>2.9914220128065723E-2</v>
      </c>
      <c r="S240" s="62">
        <f t="shared" ref="S240" si="72">E240/C220</f>
        <v>3.5348400254484699E-2</v>
      </c>
    </row>
    <row r="241" spans="1:19" x14ac:dyDescent="0.25">
      <c r="A241" s="158">
        <v>44132</v>
      </c>
      <c r="B241" s="4">
        <v>13924</v>
      </c>
      <c r="C241" s="16">
        <f t="shared" si="55"/>
        <v>1130533</v>
      </c>
      <c r="D241" s="4">
        <v>345</v>
      </c>
      <c r="E241" s="7">
        <f>D241+E240</f>
        <v>30070</v>
      </c>
      <c r="F241" s="29">
        <v>931147</v>
      </c>
      <c r="G241" s="16">
        <v>5037</v>
      </c>
      <c r="H241" s="4">
        <v>32827</v>
      </c>
      <c r="I241" s="16">
        <f>I240+H241</f>
        <v>2915776</v>
      </c>
      <c r="J241" s="7">
        <v>2109</v>
      </c>
      <c r="K241" s="7">
        <v>1406416</v>
      </c>
      <c r="L241" s="4">
        <f t="shared" si="63"/>
        <v>1408525</v>
      </c>
      <c r="M241" s="9">
        <v>8959</v>
      </c>
      <c r="N241" s="9">
        <v>219233</v>
      </c>
      <c r="O241" s="9">
        <v>777424</v>
      </c>
      <c r="P241" s="4">
        <f t="shared" si="64"/>
        <v>124917</v>
      </c>
      <c r="Q241" s="1">
        <f t="shared" ref="Q241" si="73">AVERAGE(B228:B241)/AVERAGE(B214:B227)</f>
        <v>1.0972558381132367</v>
      </c>
      <c r="R241" s="72">
        <f t="shared" ref="R241:R242" si="74">G241/(C241-E241-F241)</f>
        <v>2.9749108176427508E-2</v>
      </c>
      <c r="S241" s="62">
        <f t="shared" ref="S241" si="75">E241/C221</f>
        <v>3.5113368185910515E-2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4">
        <v>372</v>
      </c>
      <c r="E242" s="7">
        <f>E241+D242</f>
        <v>30442</v>
      </c>
      <c r="F242" s="29">
        <v>946134</v>
      </c>
      <c r="G242" s="4">
        <v>4981</v>
      </c>
      <c r="H242" s="4">
        <v>31568</v>
      </c>
      <c r="I242" s="16">
        <f>I241+H242</f>
        <v>2947344</v>
      </c>
      <c r="J242" s="7">
        <v>2160</v>
      </c>
      <c r="K242" s="7">
        <v>1420288</v>
      </c>
      <c r="L242" s="4">
        <f t="shared" si="63"/>
        <v>1422448</v>
      </c>
      <c r="M242" s="4">
        <v>9010</v>
      </c>
      <c r="N242" s="4">
        <v>221851</v>
      </c>
      <c r="O242" s="4">
        <v>788337</v>
      </c>
      <c r="P242" s="4">
        <f t="shared" si="64"/>
        <v>124602</v>
      </c>
      <c r="Q242" s="1">
        <f t="shared" ref="Q242" si="76">AVERAGE(B229:B242)/AVERAGE(B215:B228)</f>
        <v>1.0580025100374331</v>
      </c>
      <c r="R242" s="72">
        <f t="shared" ref="R242:R243" si="77">G242/(C242-E242-F242)</f>
        <v>2.9786394297469262E-2</v>
      </c>
      <c r="S242" s="62">
        <f t="shared" ref="S242" si="78">E242/C222</f>
        <v>3.4931862099354193E-2</v>
      </c>
    </row>
    <row r="243" spans="1:19" x14ac:dyDescent="0.25">
      <c r="A243" s="158">
        <v>44134</v>
      </c>
      <c r="B243" s="4">
        <v>13379</v>
      </c>
      <c r="C243" s="16">
        <f>C242+B243</f>
        <v>1157179</v>
      </c>
      <c r="D243" s="4">
        <v>350</v>
      </c>
      <c r="E243" s="7">
        <f>E242+D243</f>
        <v>30792</v>
      </c>
      <c r="F243" s="29">
        <v>961101</v>
      </c>
      <c r="G243" s="4">
        <v>4981</v>
      </c>
      <c r="H243" s="4">
        <v>32761</v>
      </c>
      <c r="I243" s="16">
        <f>I242+H243</f>
        <v>2980105</v>
      </c>
      <c r="J243" s="7">
        <v>2198</v>
      </c>
      <c r="K243" s="7">
        <v>1435121</v>
      </c>
      <c r="L243" s="4">
        <f t="shared" si="63"/>
        <v>1437319</v>
      </c>
      <c r="M243" s="4">
        <v>9073</v>
      </c>
      <c r="N243" s="4">
        <v>224367</v>
      </c>
      <c r="O243" s="4">
        <v>799735</v>
      </c>
      <c r="P243" s="4">
        <f t="shared" si="64"/>
        <v>124004</v>
      </c>
      <c r="Q243" s="4"/>
      <c r="R243" s="1">
        <f t="shared" si="77"/>
        <v>3.0135643672180343E-2</v>
      </c>
      <c r="S243" s="4"/>
    </row>
    <row r="244" spans="1:19" x14ac:dyDescent="0.25">
      <c r="A244" s="158">
        <v>44135</v>
      </c>
      <c r="B244" s="4"/>
      <c r="C244" s="4"/>
      <c r="D244" s="4"/>
      <c r="E244" s="4"/>
      <c r="F244" s="29"/>
      <c r="G244" s="4"/>
      <c r="H244" s="4"/>
      <c r="I244" s="4"/>
      <c r="J244" s="7"/>
      <c r="K244" s="7"/>
      <c r="L244" s="4"/>
      <c r="M244" s="4"/>
      <c r="N244" s="4"/>
      <c r="O244" s="4"/>
      <c r="P244" s="4"/>
      <c r="Q244" s="4"/>
      <c r="R244" s="1"/>
      <c r="S244" s="4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809"/>
  <sheetViews>
    <sheetView zoomScale="85" zoomScaleNormal="85" workbookViewId="0">
      <pane ySplit="1" topLeftCell="A5783" activePane="bottomLeft" state="frozen"/>
      <selection activeCell="D2374" sqref="A1:D2374"/>
      <selection pane="bottomLeft" activeCell="E5786" sqref="E5786"/>
    </sheetView>
  </sheetViews>
  <sheetFormatPr baseColWidth="10" defaultRowHeight="15" x14ac:dyDescent="0.25"/>
  <cols>
    <col min="1" max="1" width="23.425781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 t="shared" ref="D5495:D5496" si="502"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 t="shared" si="502"/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3">C5497+D5473</f>
        <v>33965</v>
      </c>
      <c r="E5497" s="47"/>
      <c r="F5497" s="139">
        <f>E5497+F5473</f>
        <v>454</v>
      </c>
    </row>
    <row r="5498" spans="1:6" x14ac:dyDescent="0.25">
      <c r="A5498" s="171" t="s">
        <v>22</v>
      </c>
      <c r="B5498" s="172">
        <v>44122</v>
      </c>
      <c r="C5498" s="173">
        <v>2383</v>
      </c>
      <c r="D5498" s="144">
        <f t="shared" si="503"/>
        <v>498224</v>
      </c>
      <c r="E5498" s="173">
        <f>8+7</f>
        <v>15</v>
      </c>
      <c r="F5498" s="174">
        <f t="shared" ref="F5498:F5519" si="504">E5498+F5474</f>
        <v>15832</v>
      </c>
    </row>
    <row r="5499" spans="1:6" x14ac:dyDescent="0.25">
      <c r="A5499" s="175" t="s">
        <v>20</v>
      </c>
      <c r="B5499" s="136">
        <v>44122</v>
      </c>
      <c r="C5499" s="4">
        <v>517</v>
      </c>
      <c r="D5499" s="29">
        <f t="shared" si="503"/>
        <v>139970</v>
      </c>
      <c r="E5499" s="4">
        <f>18+20</f>
        <v>38</v>
      </c>
      <c r="F5499" s="176">
        <f t="shared" si="504"/>
        <v>4250</v>
      </c>
    </row>
    <row r="5500" spans="1:6" x14ac:dyDescent="0.25">
      <c r="A5500" s="175" t="s">
        <v>35</v>
      </c>
      <c r="B5500" s="136">
        <v>44122</v>
      </c>
      <c r="C5500" s="4">
        <v>27</v>
      </c>
      <c r="D5500" s="29">
        <f t="shared" si="503"/>
        <v>480</v>
      </c>
      <c r="F5500" s="176">
        <f t="shared" si="504"/>
        <v>0</v>
      </c>
    </row>
    <row r="5501" spans="1:6" x14ac:dyDescent="0.25">
      <c r="A5501" s="175" t="s">
        <v>21</v>
      </c>
      <c r="B5501" s="136">
        <v>44122</v>
      </c>
      <c r="C5501" s="4">
        <v>232</v>
      </c>
      <c r="D5501" s="29">
        <f t="shared" si="503"/>
        <v>11663</v>
      </c>
      <c r="E5501" s="4">
        <f>1+2</f>
        <v>3</v>
      </c>
      <c r="F5501" s="176">
        <f t="shared" si="504"/>
        <v>359</v>
      </c>
    </row>
    <row r="5502" spans="1:6" x14ac:dyDescent="0.25">
      <c r="A5502" s="175" t="s">
        <v>36</v>
      </c>
      <c r="B5502" s="136">
        <v>44122</v>
      </c>
      <c r="C5502" s="4">
        <v>150</v>
      </c>
      <c r="D5502" s="29">
        <f t="shared" si="503"/>
        <v>9042</v>
      </c>
      <c r="E5502" s="4">
        <f>5+4</f>
        <v>9</v>
      </c>
      <c r="F5502" s="176">
        <f t="shared" si="504"/>
        <v>122</v>
      </c>
    </row>
    <row r="5503" spans="1:6" x14ac:dyDescent="0.25">
      <c r="A5503" s="175" t="s">
        <v>27</v>
      </c>
      <c r="B5503" s="136">
        <v>44122</v>
      </c>
      <c r="C5503" s="4">
        <v>1850</v>
      </c>
      <c r="D5503" s="29">
        <f t="shared" si="503"/>
        <v>62911</v>
      </c>
      <c r="E5503" s="4">
        <f>15+12</f>
        <v>27</v>
      </c>
      <c r="F5503" s="176">
        <f t="shared" si="504"/>
        <v>850</v>
      </c>
    </row>
    <row r="5504" spans="1:6" x14ac:dyDescent="0.25">
      <c r="A5504" s="175" t="s">
        <v>37</v>
      </c>
      <c r="B5504" s="136">
        <v>44122</v>
      </c>
      <c r="C5504" s="4">
        <v>41</v>
      </c>
      <c r="D5504" s="29">
        <f t="shared" si="503"/>
        <v>1978</v>
      </c>
      <c r="F5504" s="176">
        <f t="shared" si="504"/>
        <v>32</v>
      </c>
    </row>
    <row r="5505" spans="1:6" x14ac:dyDescent="0.25">
      <c r="A5505" s="175" t="s">
        <v>38</v>
      </c>
      <c r="B5505" s="136">
        <v>44122</v>
      </c>
      <c r="C5505" s="4">
        <v>279</v>
      </c>
      <c r="D5505" s="29">
        <f t="shared" si="503"/>
        <v>11434</v>
      </c>
      <c r="E5505" s="4">
        <v>1</v>
      </c>
      <c r="F5505" s="176">
        <f t="shared" si="504"/>
        <v>207</v>
      </c>
    </row>
    <row r="5506" spans="1:6" x14ac:dyDescent="0.25">
      <c r="A5506" s="175" t="s">
        <v>48</v>
      </c>
      <c r="B5506" s="136">
        <v>44122</v>
      </c>
      <c r="C5506" s="4">
        <v>-2</v>
      </c>
      <c r="D5506" s="29">
        <f t="shared" si="503"/>
        <v>138</v>
      </c>
      <c r="F5506" s="176">
        <f t="shared" si="504"/>
        <v>1</v>
      </c>
    </row>
    <row r="5507" spans="1:6" x14ac:dyDescent="0.25">
      <c r="A5507" s="175" t="s">
        <v>39</v>
      </c>
      <c r="B5507" s="136">
        <v>44122</v>
      </c>
      <c r="C5507" s="4">
        <v>45</v>
      </c>
      <c r="D5507" s="29">
        <f t="shared" si="503"/>
        <v>17234</v>
      </c>
      <c r="F5507" s="176">
        <f t="shared" si="504"/>
        <v>675</v>
      </c>
    </row>
    <row r="5508" spans="1:6" x14ac:dyDescent="0.25">
      <c r="A5508" s="175" t="s">
        <v>40</v>
      </c>
      <c r="B5508" s="136">
        <v>44122</v>
      </c>
      <c r="C5508" s="4">
        <v>87</v>
      </c>
      <c r="D5508" s="29">
        <f t="shared" si="503"/>
        <v>1618</v>
      </c>
      <c r="F5508" s="176">
        <f t="shared" si="504"/>
        <v>17</v>
      </c>
    </row>
    <row r="5509" spans="1:6" x14ac:dyDescent="0.25">
      <c r="A5509" s="175" t="s">
        <v>28</v>
      </c>
      <c r="B5509" s="136">
        <v>44122</v>
      </c>
      <c r="C5509" s="4">
        <v>181</v>
      </c>
      <c r="D5509" s="29">
        <f t="shared" si="503"/>
        <v>6559</v>
      </c>
      <c r="F5509" s="176">
        <f t="shared" si="504"/>
        <v>202</v>
      </c>
    </row>
    <row r="5510" spans="1:6" x14ac:dyDescent="0.25">
      <c r="A5510" s="175" t="s">
        <v>24</v>
      </c>
      <c r="B5510" s="136">
        <v>44122</v>
      </c>
      <c r="C5510" s="4">
        <v>513</v>
      </c>
      <c r="D5510" s="29">
        <f t="shared" si="503"/>
        <v>37102</v>
      </c>
      <c r="E5510" s="4">
        <f>11+6</f>
        <v>17</v>
      </c>
      <c r="F5510" s="176">
        <f t="shared" si="504"/>
        <v>555</v>
      </c>
    </row>
    <row r="5511" spans="1:6" x14ac:dyDescent="0.25">
      <c r="A5511" s="175" t="s">
        <v>30</v>
      </c>
      <c r="B5511" s="136">
        <v>44122</v>
      </c>
      <c r="C5511" s="4">
        <v>4</v>
      </c>
      <c r="D5511" s="29">
        <f t="shared" si="503"/>
        <v>203</v>
      </c>
      <c r="F5511" s="176">
        <f t="shared" si="504"/>
        <v>4</v>
      </c>
    </row>
    <row r="5512" spans="1:6" x14ac:dyDescent="0.25">
      <c r="A5512" s="175" t="s">
        <v>26</v>
      </c>
      <c r="B5512" s="136">
        <v>44122</v>
      </c>
      <c r="C5512" s="4">
        <v>288</v>
      </c>
      <c r="D5512" s="29">
        <f t="shared" si="503"/>
        <v>15083</v>
      </c>
      <c r="E5512" s="4">
        <f>16+8</f>
        <v>24</v>
      </c>
      <c r="F5512" s="176">
        <f t="shared" si="504"/>
        <v>242</v>
      </c>
    </row>
    <row r="5513" spans="1:6" x14ac:dyDescent="0.25">
      <c r="A5513" s="175" t="s">
        <v>25</v>
      </c>
      <c r="B5513" s="136">
        <v>44122</v>
      </c>
      <c r="C5513" s="4">
        <v>273</v>
      </c>
      <c r="D5513" s="29">
        <f t="shared" si="503"/>
        <v>19191</v>
      </c>
      <c r="E5513" s="4">
        <f>1+4</f>
        <v>5</v>
      </c>
      <c r="F5513" s="176">
        <f t="shared" si="504"/>
        <v>408</v>
      </c>
    </row>
    <row r="5514" spans="1:6" x14ac:dyDescent="0.25">
      <c r="A5514" s="175" t="s">
        <v>41</v>
      </c>
      <c r="B5514" s="136">
        <v>44122</v>
      </c>
      <c r="C5514" s="4">
        <v>168</v>
      </c>
      <c r="D5514" s="29">
        <f t="shared" si="503"/>
        <v>16632</v>
      </c>
      <c r="E5514" s="4">
        <f>14+1</f>
        <v>15</v>
      </c>
      <c r="F5514" s="176">
        <f>E5514+F5490</f>
        <v>604</v>
      </c>
    </row>
    <row r="5515" spans="1:6" x14ac:dyDescent="0.25">
      <c r="A5515" s="175" t="s">
        <v>42</v>
      </c>
      <c r="B5515" s="136">
        <v>44122</v>
      </c>
      <c r="C5515" s="4">
        <v>1</v>
      </c>
      <c r="D5515" s="29">
        <f t="shared" si="503"/>
        <v>1292</v>
      </c>
      <c r="F5515" s="176">
        <f>E5515+F5491</f>
        <v>51</v>
      </c>
    </row>
    <row r="5516" spans="1:6" x14ac:dyDescent="0.25">
      <c r="A5516" s="175" t="s">
        <v>43</v>
      </c>
      <c r="B5516" s="136">
        <v>44122</v>
      </c>
      <c r="C5516" s="4">
        <v>183</v>
      </c>
      <c r="D5516" s="29">
        <f t="shared" si="503"/>
        <v>3327</v>
      </c>
      <c r="E5516" s="4">
        <f>1</f>
        <v>1</v>
      </c>
      <c r="F5516" s="176">
        <f t="shared" si="504"/>
        <v>36</v>
      </c>
    </row>
    <row r="5517" spans="1:6" x14ac:dyDescent="0.25">
      <c r="A5517" s="175" t="s">
        <v>44</v>
      </c>
      <c r="B5517" s="136">
        <v>44122</v>
      </c>
      <c r="C5517" s="4">
        <v>84</v>
      </c>
      <c r="D5517" s="29">
        <f t="shared" si="503"/>
        <v>7267</v>
      </c>
      <c r="E5517" s="4">
        <f>3</f>
        <v>3</v>
      </c>
      <c r="F5517" s="176">
        <f>E5517+F5493</f>
        <v>100</v>
      </c>
    </row>
    <row r="5518" spans="1:6" x14ac:dyDescent="0.25">
      <c r="A5518" s="175" t="s">
        <v>29</v>
      </c>
      <c r="B5518" s="136">
        <v>44122</v>
      </c>
      <c r="C5518" s="4">
        <v>2015</v>
      </c>
      <c r="D5518" s="29">
        <f t="shared" si="503"/>
        <v>78824</v>
      </c>
      <c r="E5518" s="4">
        <f>1</f>
        <v>1</v>
      </c>
      <c r="F5518" s="176">
        <f>E5518+F5494</f>
        <v>849</v>
      </c>
    </row>
    <row r="5519" spans="1:6" x14ac:dyDescent="0.25">
      <c r="A5519" s="175" t="s">
        <v>45</v>
      </c>
      <c r="B5519" s="136">
        <v>44122</v>
      </c>
      <c r="C5519" s="4">
        <v>262</v>
      </c>
      <c r="D5519" s="29">
        <f t="shared" ref="D5519:D5520" si="505">C5519+D5495</f>
        <v>6815</v>
      </c>
      <c r="F5519" s="176">
        <f t="shared" si="504"/>
        <v>97</v>
      </c>
    </row>
    <row r="5520" spans="1:6" x14ac:dyDescent="0.25">
      <c r="A5520" s="175" t="s">
        <v>46</v>
      </c>
      <c r="B5520" s="136">
        <v>44122</v>
      </c>
      <c r="C5520" s="4">
        <v>208</v>
      </c>
      <c r="D5520" s="29">
        <f t="shared" si="505"/>
        <v>8148</v>
      </c>
      <c r="E5520" s="4">
        <f>2</f>
        <v>2</v>
      </c>
      <c r="F5520" s="176">
        <f>E5520+F5496</f>
        <v>102</v>
      </c>
    </row>
    <row r="5521" spans="1:6" ht="15.75" thickBot="1" x14ac:dyDescent="0.3">
      <c r="A5521" s="177" t="s">
        <v>47</v>
      </c>
      <c r="B5521" s="178">
        <v>44122</v>
      </c>
      <c r="C5521" s="179">
        <v>772</v>
      </c>
      <c r="D5521" s="29">
        <f t="shared" ref="D5521:D5542" si="506">C5521+D5497</f>
        <v>34737</v>
      </c>
      <c r="E5521" s="179"/>
      <c r="F5521" s="180">
        <f>E5521+F5497</f>
        <v>454</v>
      </c>
    </row>
    <row r="5522" spans="1:6" x14ac:dyDescent="0.25">
      <c r="A5522" s="171" t="s">
        <v>22</v>
      </c>
      <c r="B5522" s="172">
        <v>44123</v>
      </c>
      <c r="C5522" s="173">
        <v>4206</v>
      </c>
      <c r="D5522" s="144">
        <f t="shared" si="506"/>
        <v>502430</v>
      </c>
      <c r="E5522" s="173">
        <v>197</v>
      </c>
      <c r="F5522" s="181">
        <f>E5522+F5498</f>
        <v>16029</v>
      </c>
    </row>
    <row r="5523" spans="1:6" x14ac:dyDescent="0.25">
      <c r="A5523" s="175" t="s">
        <v>20</v>
      </c>
      <c r="B5523" s="136">
        <v>44123</v>
      </c>
      <c r="C5523" s="4">
        <v>557</v>
      </c>
      <c r="D5523" s="29">
        <f t="shared" si="506"/>
        <v>140527</v>
      </c>
      <c r="E5523" s="4">
        <v>47</v>
      </c>
      <c r="F5523" s="182">
        <f t="shared" ref="F5523:F5586" si="507">E5523+F5499</f>
        <v>4297</v>
      </c>
    </row>
    <row r="5524" spans="1:6" x14ac:dyDescent="0.25">
      <c r="A5524" s="175" t="s">
        <v>35</v>
      </c>
      <c r="B5524" s="136">
        <v>44123</v>
      </c>
      <c r="C5524" s="4">
        <v>12</v>
      </c>
      <c r="D5524" s="29">
        <f t="shared" si="506"/>
        <v>492</v>
      </c>
      <c r="F5524" s="182">
        <f t="shared" si="507"/>
        <v>0</v>
      </c>
    </row>
    <row r="5525" spans="1:6" x14ac:dyDescent="0.25">
      <c r="A5525" s="175" t="s">
        <v>21</v>
      </c>
      <c r="B5525" s="136">
        <v>44123</v>
      </c>
      <c r="C5525" s="4">
        <v>185</v>
      </c>
      <c r="D5525" s="29">
        <f t="shared" si="506"/>
        <v>11848</v>
      </c>
      <c r="E5525" s="4">
        <v>8</v>
      </c>
      <c r="F5525" s="182">
        <f t="shared" si="507"/>
        <v>367</v>
      </c>
    </row>
    <row r="5526" spans="1:6" x14ac:dyDescent="0.25">
      <c r="A5526" s="175" t="s">
        <v>36</v>
      </c>
      <c r="B5526" s="136">
        <v>44123</v>
      </c>
      <c r="C5526" s="4">
        <v>220</v>
      </c>
      <c r="D5526" s="29">
        <f t="shared" si="506"/>
        <v>9262</v>
      </c>
      <c r="E5526" s="4">
        <v>1</v>
      </c>
      <c r="F5526" s="182">
        <f t="shared" si="507"/>
        <v>123</v>
      </c>
    </row>
    <row r="5527" spans="1:6" x14ac:dyDescent="0.25">
      <c r="A5527" s="175" t="s">
        <v>27</v>
      </c>
      <c r="B5527" s="136">
        <v>44123</v>
      </c>
      <c r="C5527" s="4">
        <v>1668</v>
      </c>
      <c r="D5527" s="29">
        <f t="shared" si="506"/>
        <v>64579</v>
      </c>
      <c r="E5527" s="4">
        <v>44</v>
      </c>
      <c r="F5527" s="182">
        <f t="shared" si="507"/>
        <v>894</v>
      </c>
    </row>
    <row r="5528" spans="1:6" x14ac:dyDescent="0.25">
      <c r="A5528" s="175" t="s">
        <v>37</v>
      </c>
      <c r="B5528" s="136">
        <v>44123</v>
      </c>
      <c r="C5528" s="4">
        <v>122</v>
      </c>
      <c r="D5528" s="29">
        <f t="shared" si="506"/>
        <v>2100</v>
      </c>
      <c r="E5528" s="4">
        <v>3</v>
      </c>
      <c r="F5528" s="182">
        <f t="shared" si="507"/>
        <v>35</v>
      </c>
    </row>
    <row r="5529" spans="1:6" x14ac:dyDescent="0.25">
      <c r="A5529" s="175" t="s">
        <v>38</v>
      </c>
      <c r="B5529" s="136">
        <v>44123</v>
      </c>
      <c r="C5529" s="4">
        <v>258</v>
      </c>
      <c r="D5529" s="29">
        <f t="shared" si="506"/>
        <v>11692</v>
      </c>
      <c r="E5529" s="4">
        <v>5</v>
      </c>
      <c r="F5529" s="182">
        <f t="shared" si="507"/>
        <v>212</v>
      </c>
    </row>
    <row r="5530" spans="1:6" x14ac:dyDescent="0.25">
      <c r="A5530" s="175" t="s">
        <v>48</v>
      </c>
      <c r="B5530" s="136">
        <v>44123</v>
      </c>
      <c r="C5530" s="4">
        <v>6</v>
      </c>
      <c r="D5530" s="29">
        <f t="shared" si="506"/>
        <v>144</v>
      </c>
      <c r="F5530" s="182">
        <f t="shared" si="507"/>
        <v>1</v>
      </c>
    </row>
    <row r="5531" spans="1:6" x14ac:dyDescent="0.25">
      <c r="A5531" s="175" t="s">
        <v>39</v>
      </c>
      <c r="B5531" s="136">
        <v>44123</v>
      </c>
      <c r="C5531" s="4">
        <v>51</v>
      </c>
      <c r="D5531" s="29">
        <f t="shared" si="506"/>
        <v>17285</v>
      </c>
      <c r="E5531" s="4">
        <v>30</v>
      </c>
      <c r="F5531" s="182">
        <f t="shared" si="507"/>
        <v>705</v>
      </c>
    </row>
    <row r="5532" spans="1:6" x14ac:dyDescent="0.25">
      <c r="A5532" s="175" t="s">
        <v>40</v>
      </c>
      <c r="B5532" s="136">
        <v>44123</v>
      </c>
      <c r="C5532" s="4">
        <v>92</v>
      </c>
      <c r="D5532" s="29">
        <f t="shared" si="506"/>
        <v>1710</v>
      </c>
      <c r="F5532" s="182">
        <f t="shared" si="507"/>
        <v>17</v>
      </c>
    </row>
    <row r="5533" spans="1:6" x14ac:dyDescent="0.25">
      <c r="A5533" s="175" t="s">
        <v>28</v>
      </c>
      <c r="B5533" s="136">
        <v>44123</v>
      </c>
      <c r="C5533" s="4">
        <v>65</v>
      </c>
      <c r="D5533" s="29">
        <f t="shared" si="506"/>
        <v>6624</v>
      </c>
      <c r="E5533" s="4">
        <v>3</v>
      </c>
      <c r="F5533" s="182">
        <f t="shared" si="507"/>
        <v>205</v>
      </c>
    </row>
    <row r="5534" spans="1:6" x14ac:dyDescent="0.25">
      <c r="A5534" s="175" t="s">
        <v>24</v>
      </c>
      <c r="B5534" s="136">
        <v>44123</v>
      </c>
      <c r="C5534" s="4">
        <v>744</v>
      </c>
      <c r="D5534" s="29">
        <f t="shared" si="506"/>
        <v>37846</v>
      </c>
      <c r="E5534" s="4">
        <v>28</v>
      </c>
      <c r="F5534" s="182">
        <f t="shared" si="507"/>
        <v>583</v>
      </c>
    </row>
    <row r="5535" spans="1:6" x14ac:dyDescent="0.25">
      <c r="A5535" s="175" t="s">
        <v>30</v>
      </c>
      <c r="B5535" s="136">
        <v>44123</v>
      </c>
      <c r="C5535" s="4">
        <v>-6</v>
      </c>
      <c r="D5535" s="29">
        <f t="shared" si="506"/>
        <v>197</v>
      </c>
      <c r="F5535" s="182">
        <f t="shared" si="507"/>
        <v>4</v>
      </c>
    </row>
    <row r="5536" spans="1:6" x14ac:dyDescent="0.25">
      <c r="A5536" s="175" t="s">
        <v>26</v>
      </c>
      <c r="B5536" s="136">
        <v>44123</v>
      </c>
      <c r="C5536" s="4">
        <v>271</v>
      </c>
      <c r="D5536" s="29">
        <f t="shared" si="506"/>
        <v>15354</v>
      </c>
      <c r="E5536" s="4">
        <v>4</v>
      </c>
      <c r="F5536" s="182">
        <f t="shared" si="507"/>
        <v>246</v>
      </c>
    </row>
    <row r="5537" spans="1:6" x14ac:dyDescent="0.25">
      <c r="A5537" s="175" t="s">
        <v>25</v>
      </c>
      <c r="B5537" s="136">
        <v>44123</v>
      </c>
      <c r="C5537" s="4">
        <v>207</v>
      </c>
      <c r="D5537" s="29">
        <f t="shared" si="506"/>
        <v>19398</v>
      </c>
      <c r="E5537" s="4">
        <v>11</v>
      </c>
      <c r="F5537" s="182">
        <f t="shared" si="507"/>
        <v>419</v>
      </c>
    </row>
    <row r="5538" spans="1:6" x14ac:dyDescent="0.25">
      <c r="A5538" s="175" t="s">
        <v>41</v>
      </c>
      <c r="B5538" s="136">
        <v>44123</v>
      </c>
      <c r="C5538" s="4">
        <v>80</v>
      </c>
      <c r="D5538" s="29">
        <f t="shared" si="506"/>
        <v>16712</v>
      </c>
      <c r="E5538" s="4">
        <v>18</v>
      </c>
      <c r="F5538" s="182">
        <f t="shared" si="507"/>
        <v>622</v>
      </c>
    </row>
    <row r="5539" spans="1:6" x14ac:dyDescent="0.25">
      <c r="A5539" s="175" t="s">
        <v>42</v>
      </c>
      <c r="B5539" s="136">
        <v>44123</v>
      </c>
      <c r="C5539" s="4">
        <v>10</v>
      </c>
      <c r="D5539" s="29">
        <f t="shared" si="506"/>
        <v>1302</v>
      </c>
      <c r="E5539" s="4">
        <v>2</v>
      </c>
      <c r="F5539" s="182">
        <f t="shared" si="507"/>
        <v>53</v>
      </c>
    </row>
    <row r="5540" spans="1:6" x14ac:dyDescent="0.25">
      <c r="A5540" s="175" t="s">
        <v>43</v>
      </c>
      <c r="B5540" s="136">
        <v>44123</v>
      </c>
      <c r="C5540" s="4">
        <v>277</v>
      </c>
      <c r="D5540" s="29">
        <f t="shared" si="506"/>
        <v>3604</v>
      </c>
      <c r="F5540" s="182">
        <f t="shared" si="507"/>
        <v>36</v>
      </c>
    </row>
    <row r="5541" spans="1:6" x14ac:dyDescent="0.25">
      <c r="A5541" s="175" t="s">
        <v>44</v>
      </c>
      <c r="B5541" s="136">
        <v>44123</v>
      </c>
      <c r="C5541" s="4">
        <v>138</v>
      </c>
      <c r="D5541" s="29">
        <f t="shared" si="506"/>
        <v>7405</v>
      </c>
      <c r="E5541" s="4">
        <v>1</v>
      </c>
      <c r="F5541" s="182">
        <f t="shared" si="507"/>
        <v>101</v>
      </c>
    </row>
    <row r="5542" spans="1:6" x14ac:dyDescent="0.25">
      <c r="A5542" s="175" t="s">
        <v>29</v>
      </c>
      <c r="B5542" s="136">
        <v>44123</v>
      </c>
      <c r="C5542" s="4">
        <v>2050</v>
      </c>
      <c r="D5542" s="29">
        <f t="shared" si="506"/>
        <v>80874</v>
      </c>
      <c r="E5542" s="4">
        <v>28</v>
      </c>
      <c r="F5542" s="182">
        <f t="shared" si="507"/>
        <v>877</v>
      </c>
    </row>
    <row r="5543" spans="1:6" x14ac:dyDescent="0.25">
      <c r="A5543" s="175" t="s">
        <v>45</v>
      </c>
      <c r="B5543" s="136">
        <v>44123</v>
      </c>
      <c r="C5543" s="4">
        <v>145</v>
      </c>
      <c r="D5543" s="29">
        <f t="shared" ref="D5543:D5544" si="508">C5543+D5519</f>
        <v>6960</v>
      </c>
      <c r="E5543" s="4">
        <v>1</v>
      </c>
      <c r="F5543" s="182">
        <f t="shared" si="507"/>
        <v>98</v>
      </c>
    </row>
    <row r="5544" spans="1:6" x14ac:dyDescent="0.25">
      <c r="A5544" s="175" t="s">
        <v>46</v>
      </c>
      <c r="B5544" s="136">
        <v>44123</v>
      </c>
      <c r="C5544" s="4">
        <v>238</v>
      </c>
      <c r="D5544" s="29">
        <f t="shared" si="508"/>
        <v>8386</v>
      </c>
      <c r="F5544" s="182">
        <f t="shared" si="507"/>
        <v>102</v>
      </c>
    </row>
    <row r="5545" spans="1:6" ht="15.75" thickBot="1" x14ac:dyDescent="0.3">
      <c r="A5545" s="196" t="s">
        <v>47</v>
      </c>
      <c r="B5545" s="138">
        <v>44123</v>
      </c>
      <c r="C5545" s="47">
        <v>1386</v>
      </c>
      <c r="D5545" s="29">
        <f t="shared" ref="D5545:D5566" si="509">C5545+D5521</f>
        <v>36123</v>
      </c>
      <c r="E5545" s="47">
        <v>17</v>
      </c>
      <c r="F5545" s="182">
        <f t="shared" si="507"/>
        <v>471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9"/>
        <v>507411</v>
      </c>
      <c r="E5546" s="50">
        <f>83+61</f>
        <v>144</v>
      </c>
      <c r="F5546" s="128">
        <f>E5546+F5522</f>
        <v>16173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9"/>
        <v>141190</v>
      </c>
      <c r="E5547" s="4">
        <f>19+34+1</f>
        <v>54</v>
      </c>
      <c r="F5547" s="129">
        <f t="shared" si="507"/>
        <v>4351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9"/>
        <v>500</v>
      </c>
      <c r="F5548" s="129">
        <f t="shared" si="507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9"/>
        <v>12041</v>
      </c>
      <c r="E5549" s="4">
        <f>3+2</f>
        <v>5</v>
      </c>
      <c r="F5549" s="129">
        <f t="shared" si="507"/>
        <v>372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9"/>
        <v>9727</v>
      </c>
      <c r="E5550" s="4">
        <f>5+2</f>
        <v>7</v>
      </c>
      <c r="F5550" s="129">
        <f t="shared" si="507"/>
        <v>130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9"/>
        <v>66287</v>
      </c>
      <c r="E5551" s="4">
        <f>31+21</f>
        <v>52</v>
      </c>
      <c r="F5551" s="129">
        <f t="shared" si="507"/>
        <v>946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9"/>
        <v>2134</v>
      </c>
      <c r="F5552" s="129">
        <f t="shared" si="507"/>
        <v>35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9"/>
        <v>12094</v>
      </c>
      <c r="E5553" s="4">
        <f>2+3</f>
        <v>5</v>
      </c>
      <c r="F5553" s="129">
        <f t="shared" si="507"/>
        <v>217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9"/>
        <v>140</v>
      </c>
      <c r="F5554" s="129">
        <f t="shared" si="507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9"/>
        <v>17344</v>
      </c>
      <c r="E5555" s="4">
        <f>2+2</f>
        <v>4</v>
      </c>
      <c r="F5555" s="129">
        <f t="shared" si="507"/>
        <v>709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9"/>
        <v>1808</v>
      </c>
      <c r="E5556" s="4">
        <f>1+1</f>
        <v>2</v>
      </c>
      <c r="F5556" s="129">
        <f t="shared" si="507"/>
        <v>19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9"/>
        <v>6665</v>
      </c>
      <c r="E5557" s="4">
        <f>1+1</f>
        <v>2</v>
      </c>
      <c r="F5557" s="129">
        <f t="shared" si="507"/>
        <v>207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9"/>
        <v>38814</v>
      </c>
      <c r="E5558" s="4">
        <f>7+2</f>
        <v>9</v>
      </c>
      <c r="F5558" s="129">
        <f t="shared" si="507"/>
        <v>592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9"/>
        <v>195</v>
      </c>
      <c r="F5559" s="129">
        <f t="shared" si="507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9"/>
        <v>16659</v>
      </c>
      <c r="E5560" s="4">
        <f>5+2</f>
        <v>7</v>
      </c>
      <c r="F5560" s="129">
        <f t="shared" si="507"/>
        <v>253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9"/>
        <v>19791</v>
      </c>
      <c r="E5561" s="4">
        <f>1+1</f>
        <v>2</v>
      </c>
      <c r="F5561" s="129">
        <f t="shared" si="507"/>
        <v>421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9"/>
        <v>16913</v>
      </c>
      <c r="E5562" s="4">
        <v>7</v>
      </c>
      <c r="F5562" s="129">
        <f t="shared" si="507"/>
        <v>629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9"/>
        <v>1307</v>
      </c>
      <c r="E5563" s="4">
        <f>1</f>
        <v>1</v>
      </c>
      <c r="F5563" s="129">
        <f t="shared" si="507"/>
        <v>54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9"/>
        <v>3870</v>
      </c>
      <c r="F5564" s="129">
        <f t="shared" si="507"/>
        <v>36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9"/>
        <v>7563</v>
      </c>
      <c r="E5565" s="4">
        <v>3</v>
      </c>
      <c r="F5565" s="129">
        <f t="shared" si="507"/>
        <v>104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9"/>
        <v>83449</v>
      </c>
      <c r="E5566" s="4">
        <f>33+27</f>
        <v>60</v>
      </c>
      <c r="F5566" s="129">
        <f t="shared" si="507"/>
        <v>937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 t="shared" ref="D5567:D5568" si="510">C5567+D5543</f>
        <v>7064</v>
      </c>
      <c r="E5567" s="4">
        <f>2+1</f>
        <v>3</v>
      </c>
      <c r="F5567" s="129">
        <f t="shared" si="507"/>
        <v>101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 t="shared" si="510"/>
        <v>8681</v>
      </c>
      <c r="E5568" s="4">
        <f>1</f>
        <v>1</v>
      </c>
      <c r="F5568" s="129">
        <f t="shared" si="507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11">C5569+D5545</f>
        <v>37544</v>
      </c>
      <c r="E5569" s="47">
        <f>9+6</f>
        <v>15</v>
      </c>
      <c r="F5569" s="139">
        <f t="shared" si="507"/>
        <v>486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11"/>
        <v>512590</v>
      </c>
      <c r="E5570" s="50">
        <f>52+54</f>
        <v>106</v>
      </c>
      <c r="F5570" s="128">
        <f>E5570+F5546</f>
        <v>16279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11"/>
        <v>141930</v>
      </c>
      <c r="E5571" s="4">
        <f>30+22</f>
        <v>52</v>
      </c>
      <c r="F5571" s="129">
        <f t="shared" si="507"/>
        <v>4403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11"/>
        <v>525</v>
      </c>
      <c r="F5572" s="129">
        <f t="shared" si="507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11"/>
        <v>12296</v>
      </c>
      <c r="E5573" s="4">
        <f>2+2</f>
        <v>4</v>
      </c>
      <c r="F5573" s="129">
        <f t="shared" si="507"/>
        <v>376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11"/>
        <v>10258</v>
      </c>
      <c r="E5574" s="4">
        <f>2</f>
        <v>2</v>
      </c>
      <c r="F5574" s="129">
        <f t="shared" si="507"/>
        <v>132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11"/>
        <v>68767</v>
      </c>
      <c r="E5575" s="4">
        <f>29+26</f>
        <v>55</v>
      </c>
      <c r="F5575" s="129">
        <f t="shared" si="507"/>
        <v>1001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11"/>
        <v>2154</v>
      </c>
      <c r="F5576" s="129">
        <f t="shared" si="507"/>
        <v>35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11"/>
        <v>12561</v>
      </c>
      <c r="E5577" s="4">
        <f>1+2</f>
        <v>3</v>
      </c>
      <c r="F5577" s="129">
        <f t="shared" si="507"/>
        <v>220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11"/>
        <v>147</v>
      </c>
      <c r="F5578" s="129">
        <f t="shared" si="507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11"/>
        <v>17412</v>
      </c>
      <c r="E5579" s="4">
        <f>2+1</f>
        <v>3</v>
      </c>
      <c r="F5579" s="129">
        <f t="shared" si="507"/>
        <v>712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11"/>
        <v>1969</v>
      </c>
      <c r="E5580" s="4">
        <f>2</f>
        <v>2</v>
      </c>
      <c r="F5580" s="129">
        <f t="shared" si="507"/>
        <v>21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11"/>
        <v>6799</v>
      </c>
      <c r="E5581" s="4">
        <f>6</f>
        <v>6</v>
      </c>
      <c r="F5581" s="129">
        <f t="shared" si="507"/>
        <v>213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11"/>
        <v>39969</v>
      </c>
      <c r="E5582" s="4">
        <f>14+7</f>
        <v>21</v>
      </c>
      <c r="F5582" s="129">
        <f t="shared" si="507"/>
        <v>613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11"/>
        <v>198</v>
      </c>
      <c r="F5583" s="129">
        <f t="shared" si="507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11"/>
        <v>17635</v>
      </c>
      <c r="E5584" s="4">
        <f>21+7</f>
        <v>28</v>
      </c>
      <c r="F5584" s="129">
        <f t="shared" si="507"/>
        <v>281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11"/>
        <v>20327</v>
      </c>
      <c r="E5585" s="4">
        <f>7+5</f>
        <v>12</v>
      </c>
      <c r="F5585" s="129">
        <f t="shared" si="507"/>
        <v>433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11"/>
        <v>17167</v>
      </c>
      <c r="E5586" s="4">
        <f>7+6</f>
        <v>13</v>
      </c>
      <c r="F5586" s="129">
        <f t="shared" si="507"/>
        <v>642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11"/>
        <v>1315</v>
      </c>
      <c r="F5587" s="129">
        <f t="shared" ref="F5587:F5593" si="512">E5587+F5563</f>
        <v>54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11"/>
        <v>4377</v>
      </c>
      <c r="F5588" s="129">
        <f t="shared" si="512"/>
        <v>36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11"/>
        <v>7760</v>
      </c>
      <c r="E5589" s="4">
        <f>1</f>
        <v>1</v>
      </c>
      <c r="F5589" s="129">
        <f t="shared" si="512"/>
        <v>105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11"/>
        <v>86122</v>
      </c>
      <c r="E5590" s="4">
        <f>29+23</f>
        <v>52</v>
      </c>
      <c r="F5590" s="129">
        <f t="shared" si="512"/>
        <v>989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 t="shared" ref="D5591:D5592" si="513">C5591+D5567</f>
        <v>7249</v>
      </c>
      <c r="E5591" s="4">
        <f>1</f>
        <v>1</v>
      </c>
      <c r="F5591" s="129">
        <f t="shared" si="512"/>
        <v>102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 t="shared" si="513"/>
        <v>8886</v>
      </c>
      <c r="E5592" s="4">
        <f>4</f>
        <v>4</v>
      </c>
      <c r="F5592" s="129">
        <f t="shared" si="512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14">C5593+D5569</f>
        <v>39104</v>
      </c>
      <c r="E5593" s="54">
        <f>38+20</f>
        <v>58</v>
      </c>
      <c r="F5593" s="130">
        <f t="shared" si="512"/>
        <v>544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14"/>
        <v>517444</v>
      </c>
      <c r="E5594" s="50">
        <f>106+86</f>
        <v>192</v>
      </c>
      <c r="F5594" s="128">
        <f>E5594+F5570</f>
        <v>16471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14"/>
        <v>142496</v>
      </c>
      <c r="E5595" s="4">
        <f>31+21</f>
        <v>52</v>
      </c>
      <c r="F5595" s="129">
        <f t="shared" ref="F5595:F5658" si="515">E5595+F5571</f>
        <v>4455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14"/>
        <v>552</v>
      </c>
      <c r="F5596" s="129">
        <f t="shared" si="515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14"/>
        <v>12550</v>
      </c>
      <c r="E5597" s="4">
        <f>5+2</f>
        <v>7</v>
      </c>
      <c r="F5597" s="129">
        <f t="shared" si="515"/>
        <v>383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14"/>
        <v>10928</v>
      </c>
      <c r="E5598" s="4">
        <f>2+2</f>
        <v>4</v>
      </c>
      <c r="F5598" s="129">
        <f t="shared" si="515"/>
        <v>136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14"/>
        <v>70624</v>
      </c>
      <c r="E5599" s="4">
        <f>21+8</f>
        <v>29</v>
      </c>
      <c r="F5599" s="129">
        <f t="shared" si="515"/>
        <v>1030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14"/>
        <v>2188</v>
      </c>
      <c r="F5600" s="129">
        <f t="shared" si="515"/>
        <v>35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14"/>
        <v>12954</v>
      </c>
      <c r="E5601" s="4">
        <f>2+2</f>
        <v>4</v>
      </c>
      <c r="F5601" s="129">
        <f t="shared" si="515"/>
        <v>224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14"/>
        <v>140</v>
      </c>
      <c r="F5602" s="129">
        <f t="shared" si="515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14"/>
        <v>17471</v>
      </c>
      <c r="E5603" s="4">
        <f>5+1</f>
        <v>6</v>
      </c>
      <c r="F5603" s="129">
        <f t="shared" si="515"/>
        <v>718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14"/>
        <v>2130</v>
      </c>
      <c r="E5604" s="4">
        <f>3</f>
        <v>3</v>
      </c>
      <c r="F5604" s="129">
        <f t="shared" si="515"/>
        <v>24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14"/>
        <v>6861</v>
      </c>
      <c r="F5605" s="129">
        <f t="shared" si="515"/>
        <v>213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14"/>
        <v>40905</v>
      </c>
      <c r="E5606" s="4">
        <f>11+6</f>
        <v>17</v>
      </c>
      <c r="F5606" s="129">
        <f t="shared" si="515"/>
        <v>630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14"/>
        <v>207</v>
      </c>
      <c r="F5607" s="129">
        <f t="shared" si="515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14"/>
        <v>18202</v>
      </c>
      <c r="E5608" s="4">
        <f>1</f>
        <v>1</v>
      </c>
      <c r="F5608" s="129">
        <f t="shared" si="515"/>
        <v>282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14"/>
        <v>20838</v>
      </c>
      <c r="E5609" s="4">
        <f>6+3</f>
        <v>9</v>
      </c>
      <c r="F5609" s="129">
        <f t="shared" si="515"/>
        <v>442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14"/>
        <v>17454</v>
      </c>
      <c r="E5610" s="4">
        <f>14+4</f>
        <v>18</v>
      </c>
      <c r="F5610" s="129">
        <f t="shared" si="515"/>
        <v>660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14"/>
        <v>1322</v>
      </c>
      <c r="F5611" s="129">
        <f t="shared" si="515"/>
        <v>54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14"/>
        <v>4746</v>
      </c>
      <c r="E5612" s="4">
        <f>1</f>
        <v>1</v>
      </c>
      <c r="F5612" s="129">
        <f t="shared" si="515"/>
        <v>37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14"/>
        <v>7955</v>
      </c>
      <c r="E5613" s="4">
        <f>3+2</f>
        <v>5</v>
      </c>
      <c r="F5613" s="129">
        <f t="shared" si="515"/>
        <v>110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14"/>
        <v>88658</v>
      </c>
      <c r="E5614" s="4">
        <f>21+17</f>
        <v>38</v>
      </c>
      <c r="F5614" s="129">
        <f t="shared" si="515"/>
        <v>1027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 t="shared" ref="D5615:D5616" si="516">C5615+D5591</f>
        <v>7496</v>
      </c>
      <c r="E5615" s="4">
        <f>2</f>
        <v>2</v>
      </c>
      <c r="F5615" s="129">
        <f t="shared" si="515"/>
        <v>104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 t="shared" si="516"/>
        <v>9140</v>
      </c>
      <c r="E5616" s="4">
        <f>4+1</f>
        <v>5</v>
      </c>
      <c r="F5616" s="129">
        <f t="shared" si="515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7">C5617+D5593</f>
        <v>40581</v>
      </c>
      <c r="E5617" s="54">
        <f>26+15</f>
        <v>41</v>
      </c>
      <c r="F5617" s="130">
        <f t="shared" si="515"/>
        <v>585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7"/>
        <v>522093</v>
      </c>
      <c r="E5618" s="4">
        <f>83+56</f>
        <v>139</v>
      </c>
      <c r="F5618" s="128">
        <f>E5618+F5594</f>
        <v>16610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7"/>
        <v>143081</v>
      </c>
      <c r="E5619" s="4">
        <f>1+28+24</f>
        <v>53</v>
      </c>
      <c r="F5619" s="129">
        <f t="shared" si="515"/>
        <v>4508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7"/>
        <v>563</v>
      </c>
      <c r="F5620" s="129">
        <f t="shared" si="515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7"/>
        <v>12781</v>
      </c>
      <c r="E5621" s="4">
        <f>4+1</f>
        <v>5</v>
      </c>
      <c r="F5621" s="129">
        <f t="shared" si="515"/>
        <v>388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7"/>
        <v>11601</v>
      </c>
      <c r="E5622" s="4">
        <f>5+3</f>
        <v>8</v>
      </c>
      <c r="F5622" s="129">
        <f t="shared" si="515"/>
        <v>144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7"/>
        <v>72758</v>
      </c>
      <c r="E5623" s="4">
        <f>26+13</f>
        <v>39</v>
      </c>
      <c r="F5623" s="129">
        <f t="shared" si="515"/>
        <v>1069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7"/>
        <v>2200</v>
      </c>
      <c r="E5624" s="4">
        <f>2+2</f>
        <v>4</v>
      </c>
      <c r="F5624" s="129">
        <f t="shared" si="515"/>
        <v>39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7"/>
        <v>13429</v>
      </c>
      <c r="E5625" s="4">
        <f>3+2</f>
        <v>5</v>
      </c>
      <c r="F5625" s="129">
        <f t="shared" si="515"/>
        <v>229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7"/>
        <v>142</v>
      </c>
      <c r="F5626" s="129">
        <f t="shared" si="515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7"/>
        <v>17517</v>
      </c>
      <c r="E5627" s="4">
        <f>15+6</f>
        <v>21</v>
      </c>
      <c r="F5627" s="129">
        <f t="shared" si="515"/>
        <v>739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7"/>
        <v>2259</v>
      </c>
      <c r="E5628" s="4">
        <f>2</f>
        <v>2</v>
      </c>
      <c r="F5628" s="129">
        <f t="shared" si="515"/>
        <v>26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7"/>
        <v>6970</v>
      </c>
      <c r="E5629" s="4">
        <f>5</f>
        <v>5</v>
      </c>
      <c r="F5629" s="129">
        <f t="shared" si="515"/>
        <v>218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7"/>
        <v>41735</v>
      </c>
      <c r="E5630" s="4">
        <f>7+4</f>
        <v>11</v>
      </c>
      <c r="F5630" s="129">
        <f t="shared" si="515"/>
        <v>641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7"/>
        <v>209</v>
      </c>
      <c r="F5631" s="129">
        <f t="shared" si="515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7"/>
        <v>18613</v>
      </c>
      <c r="E5632" s="4">
        <f>10+7</f>
        <v>17</v>
      </c>
      <c r="F5632" s="129">
        <f t="shared" si="515"/>
        <v>299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7"/>
        <v>21255</v>
      </c>
      <c r="E5633" s="4">
        <f>4+7</f>
        <v>11</v>
      </c>
      <c r="F5633" s="129">
        <f t="shared" si="515"/>
        <v>453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7"/>
        <v>17692</v>
      </c>
      <c r="E5634" s="4">
        <f>12+1</f>
        <v>13</v>
      </c>
      <c r="F5634" s="129">
        <f t="shared" si="515"/>
        <v>673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7"/>
        <v>1374</v>
      </c>
      <c r="F5635" s="129">
        <f t="shared" si="515"/>
        <v>54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7"/>
        <v>5062</v>
      </c>
      <c r="F5636" s="129">
        <f t="shared" si="515"/>
        <v>37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7"/>
        <v>8155</v>
      </c>
      <c r="E5637" s="4">
        <f>4+1</f>
        <v>5</v>
      </c>
      <c r="F5637" s="129">
        <f t="shared" si="515"/>
        <v>115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7"/>
        <v>91175</v>
      </c>
      <c r="E5638" s="4">
        <f>16+11</f>
        <v>27</v>
      </c>
      <c r="F5638" s="129">
        <f t="shared" si="515"/>
        <v>1054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 t="shared" ref="D5639:D5640" si="518">C5639+D5615</f>
        <v>7812</v>
      </c>
      <c r="F5639" s="129">
        <f t="shared" si="515"/>
        <v>104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 t="shared" si="518"/>
        <v>9471</v>
      </c>
      <c r="E5640" s="4">
        <f>3+4</f>
        <v>7</v>
      </c>
      <c r="F5640" s="129">
        <f t="shared" si="515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9">C5641+D5617</f>
        <v>41613</v>
      </c>
      <c r="E5641" s="4">
        <f>4+6</f>
        <v>10</v>
      </c>
      <c r="F5641" s="130">
        <f t="shared" si="515"/>
        <v>595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9"/>
        <v>525123</v>
      </c>
      <c r="E5642" s="4">
        <f>55+41</f>
        <v>96</v>
      </c>
      <c r="F5642" s="128">
        <f>E5642+F5618</f>
        <v>16706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9"/>
        <v>143545</v>
      </c>
      <c r="E5643" s="4">
        <f>1+17+23</f>
        <v>41</v>
      </c>
      <c r="F5643" s="129">
        <f t="shared" si="515"/>
        <v>4549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9"/>
        <v>596</v>
      </c>
      <c r="F5644" s="129">
        <f t="shared" si="515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9"/>
        <v>12928</v>
      </c>
      <c r="E5645" s="4">
        <f>5+1</f>
        <v>6</v>
      </c>
      <c r="F5645" s="129">
        <f t="shared" si="515"/>
        <v>394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9"/>
        <v>11952</v>
      </c>
      <c r="E5646" s="4">
        <f>3+2</f>
        <v>5</v>
      </c>
      <c r="F5646" s="129">
        <f t="shared" si="515"/>
        <v>149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9"/>
        <v>74605</v>
      </c>
      <c r="E5647" s="4">
        <f>17+13</f>
        <v>30</v>
      </c>
      <c r="F5647" s="129">
        <f t="shared" si="515"/>
        <v>1099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9"/>
        <v>2245</v>
      </c>
      <c r="F5648" s="129">
        <f t="shared" si="515"/>
        <v>39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9"/>
        <v>13738</v>
      </c>
      <c r="E5649" s="4">
        <f>1+1</f>
        <v>2</v>
      </c>
      <c r="F5649" s="129">
        <f t="shared" si="515"/>
        <v>231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9"/>
        <v>142</v>
      </c>
      <c r="F5650" s="129">
        <f t="shared" si="515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9"/>
        <v>17579</v>
      </c>
      <c r="E5651" s="4">
        <f>3+1</f>
        <v>4</v>
      </c>
      <c r="F5651" s="129">
        <f t="shared" si="515"/>
        <v>743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9"/>
        <v>2336</v>
      </c>
      <c r="F5652" s="129">
        <f t="shared" si="515"/>
        <v>26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9"/>
        <v>7016</v>
      </c>
      <c r="F5653" s="129">
        <f t="shared" si="515"/>
        <v>218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9"/>
        <v>42388</v>
      </c>
      <c r="E5654" s="4">
        <f>2+4</f>
        <v>6</v>
      </c>
      <c r="F5654" s="129">
        <f t="shared" si="515"/>
        <v>647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9"/>
        <v>212</v>
      </c>
      <c r="E5655" s="4">
        <f>1</f>
        <v>1</v>
      </c>
      <c r="F5655" s="129">
        <f t="shared" si="515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9"/>
        <v>19147</v>
      </c>
      <c r="F5656" s="129">
        <f t="shared" si="515"/>
        <v>299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9"/>
        <v>21522</v>
      </c>
      <c r="E5657" s="4">
        <f>4+6</f>
        <v>10</v>
      </c>
      <c r="F5657" s="129">
        <f t="shared" si="515"/>
        <v>463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9"/>
        <v>17885</v>
      </c>
      <c r="E5658" s="4">
        <f>4</f>
        <v>4</v>
      </c>
      <c r="F5658" s="129">
        <f t="shared" si="515"/>
        <v>677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9"/>
        <v>1380</v>
      </c>
      <c r="E5659" s="4">
        <f>1</f>
        <v>1</v>
      </c>
      <c r="F5659" s="129">
        <f t="shared" ref="F5659:F5665" si="520">E5659+F5635</f>
        <v>55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9"/>
        <v>5295</v>
      </c>
      <c r="F5660" s="129">
        <f t="shared" si="520"/>
        <v>37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9"/>
        <v>8291</v>
      </c>
      <c r="F5661" s="129">
        <f t="shared" si="520"/>
        <v>115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9"/>
        <v>93102</v>
      </c>
      <c r="E5662" s="4">
        <f>7+10</f>
        <v>17</v>
      </c>
      <c r="F5662" s="129">
        <f t="shared" si="520"/>
        <v>1071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 t="shared" ref="D5663:D5664" si="521">C5663+D5639</f>
        <v>8123</v>
      </c>
      <c r="F5663" s="129">
        <f t="shared" si="520"/>
        <v>104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 t="shared" si="521"/>
        <v>9809</v>
      </c>
      <c r="E5664" s="4">
        <f>6+1</f>
        <v>7</v>
      </c>
      <c r="F5664" s="129">
        <f t="shared" si="520"/>
        <v>126</v>
      </c>
    </row>
    <row r="5665" spans="1:6" ht="15.75" thickBot="1" x14ac:dyDescent="0.3">
      <c r="A5665" s="142" t="s">
        <v>47</v>
      </c>
      <c r="B5665" s="221">
        <v>44128</v>
      </c>
      <c r="C5665" s="47">
        <v>956</v>
      </c>
      <c r="D5665" s="29">
        <f t="shared" ref="D5665:D5686" si="522">C5665+D5641</f>
        <v>42569</v>
      </c>
      <c r="E5665" s="47">
        <f>29+14</f>
        <v>43</v>
      </c>
      <c r="F5665" s="139">
        <f t="shared" si="520"/>
        <v>638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22"/>
        <v>527293</v>
      </c>
      <c r="E5666" s="50">
        <f>40+46</f>
        <v>86</v>
      </c>
      <c r="F5666" s="128">
        <f>E5666+F5642</f>
        <v>16792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22"/>
        <v>143990</v>
      </c>
      <c r="E5667" s="4">
        <f>22+13</f>
        <v>35</v>
      </c>
      <c r="F5667" s="129">
        <f t="shared" ref="F5667:F5730" si="523">E5667+F5643</f>
        <v>4584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22"/>
        <v>631</v>
      </c>
      <c r="F5668" s="129">
        <f t="shared" si="523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22"/>
        <v>13090</v>
      </c>
      <c r="E5669" s="4">
        <f>4+1</f>
        <v>5</v>
      </c>
      <c r="F5669" s="129">
        <f t="shared" si="523"/>
        <v>399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22"/>
        <v>12437</v>
      </c>
      <c r="E5670" s="4">
        <f>4+1</f>
        <v>5</v>
      </c>
      <c r="F5670" s="129">
        <f t="shared" si="523"/>
        <v>154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22"/>
        <v>75995</v>
      </c>
      <c r="E5671" s="4">
        <f>15+14</f>
        <v>29</v>
      </c>
      <c r="F5671" s="129">
        <f t="shared" si="523"/>
        <v>1128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22"/>
        <v>2269</v>
      </c>
      <c r="F5672" s="129">
        <f t="shared" si="523"/>
        <v>39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22"/>
        <v>13940</v>
      </c>
      <c r="E5673" s="4">
        <f>7+4</f>
        <v>11</v>
      </c>
      <c r="F5673" s="129">
        <f t="shared" si="523"/>
        <v>242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22"/>
        <v>143</v>
      </c>
      <c r="F5674" s="129">
        <f t="shared" si="523"/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22"/>
        <v>17614</v>
      </c>
      <c r="E5675" s="4">
        <f>4</f>
        <v>4</v>
      </c>
      <c r="F5675" s="129">
        <f t="shared" si="523"/>
        <v>747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22"/>
        <v>2456</v>
      </c>
      <c r="F5676" s="129">
        <f t="shared" si="523"/>
        <v>26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22"/>
        <v>7124</v>
      </c>
      <c r="F5677" s="129">
        <f t="shared" si="523"/>
        <v>218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22"/>
        <v>42949</v>
      </c>
      <c r="E5678" s="4">
        <f>11+5</f>
        <v>16</v>
      </c>
      <c r="F5678" s="129">
        <f t="shared" si="523"/>
        <v>663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22"/>
        <v>217</v>
      </c>
      <c r="F5679" s="129">
        <f t="shared" si="52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22"/>
        <v>19383</v>
      </c>
      <c r="E5680" s="4">
        <f>10+10</f>
        <v>20</v>
      </c>
      <c r="F5680" s="129">
        <f t="shared" si="523"/>
        <v>319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22"/>
        <v>21760</v>
      </c>
      <c r="E5681" s="4">
        <f>7+4</f>
        <v>11</v>
      </c>
      <c r="F5681" s="129">
        <f t="shared" si="523"/>
        <v>474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22"/>
        <v>18030</v>
      </c>
      <c r="E5682" s="4">
        <f>20+5</f>
        <v>25</v>
      </c>
      <c r="F5682" s="129">
        <f t="shared" si="523"/>
        <v>702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22"/>
        <v>1386</v>
      </c>
      <c r="F5683" s="129">
        <f t="shared" si="523"/>
        <v>55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22"/>
        <v>5483</v>
      </c>
      <c r="F5684" s="129">
        <f t="shared" si="523"/>
        <v>37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22"/>
        <v>8469</v>
      </c>
      <c r="F5685" s="129">
        <f t="shared" si="523"/>
        <v>115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22"/>
        <v>94507</v>
      </c>
      <c r="E5686" s="4">
        <f>3+3</f>
        <v>6</v>
      </c>
      <c r="F5686" s="129">
        <f t="shared" si="523"/>
        <v>1077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 t="shared" ref="D5687:D5688" si="524">C5687+D5663</f>
        <v>8385</v>
      </c>
      <c r="E5687" s="4">
        <f>5+3</f>
        <v>8</v>
      </c>
      <c r="F5687" s="129">
        <f t="shared" si="523"/>
        <v>112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 t="shared" si="524"/>
        <v>10052</v>
      </c>
      <c r="E5688" s="4">
        <f>2</f>
        <v>2</v>
      </c>
      <c r="F5688" s="129">
        <f t="shared" si="52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25">C5689+D5665</f>
        <v>43178</v>
      </c>
      <c r="E5689" s="54">
        <f>13+7</f>
        <v>20</v>
      </c>
      <c r="F5689" s="130">
        <f t="shared" si="523"/>
        <v>658</v>
      </c>
    </row>
    <row r="5690" spans="1:10" x14ac:dyDescent="0.25">
      <c r="A5690" s="222" t="s">
        <v>22</v>
      </c>
      <c r="B5690" s="136">
        <v>44130</v>
      </c>
      <c r="C5690" s="48">
        <v>3694</v>
      </c>
      <c r="D5690" s="144">
        <f t="shared" si="525"/>
        <v>530987</v>
      </c>
      <c r="E5690" s="48">
        <v>146</v>
      </c>
      <c r="F5690" s="223">
        <f>E5690+F5666</f>
        <v>16938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25"/>
        <v>144505</v>
      </c>
      <c r="E5691" s="4">
        <v>64</v>
      </c>
      <c r="F5691" s="129">
        <f t="shared" si="523"/>
        <v>4648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25"/>
        <v>638</v>
      </c>
      <c r="F5692" s="129">
        <f t="shared" si="52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25"/>
        <v>13227</v>
      </c>
      <c r="E5693" s="4">
        <v>1</v>
      </c>
      <c r="F5693" s="129">
        <f t="shared" si="523"/>
        <v>400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25"/>
        <v>12981</v>
      </c>
      <c r="E5694" s="4">
        <v>2</v>
      </c>
      <c r="F5694" s="129">
        <f t="shared" si="523"/>
        <v>156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25"/>
        <v>77266</v>
      </c>
      <c r="E5695" s="4">
        <v>32</v>
      </c>
      <c r="F5695" s="129">
        <f t="shared" si="523"/>
        <v>1160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25"/>
        <v>2383</v>
      </c>
      <c r="E5696" s="4">
        <v>3</v>
      </c>
      <c r="F5696" s="129">
        <f t="shared" si="523"/>
        <v>42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25"/>
        <v>14292</v>
      </c>
      <c r="E5697" s="4">
        <v>11</v>
      </c>
      <c r="F5697" s="129">
        <f t="shared" si="523"/>
        <v>253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25"/>
        <v>145</v>
      </c>
      <c r="F5698" s="129">
        <f t="shared" si="52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25"/>
        <v>17652</v>
      </c>
      <c r="E5699" s="4">
        <v>10</v>
      </c>
      <c r="F5699" s="129">
        <f t="shared" si="523"/>
        <v>757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25"/>
        <v>2524</v>
      </c>
      <c r="F5700" s="129">
        <f t="shared" si="523"/>
        <v>26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25"/>
        <v>7173</v>
      </c>
      <c r="E5701" s="4">
        <v>13</v>
      </c>
      <c r="F5701" s="129">
        <f t="shared" si="523"/>
        <v>231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25"/>
        <v>43601</v>
      </c>
      <c r="E5702" s="4">
        <v>11</v>
      </c>
      <c r="F5702" s="129">
        <f t="shared" si="523"/>
        <v>674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25"/>
        <v>229</v>
      </c>
      <c r="F5703" s="129">
        <f t="shared" si="52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25"/>
        <v>19778</v>
      </c>
      <c r="E5704" s="4">
        <v>6</v>
      </c>
      <c r="F5704" s="129">
        <f t="shared" si="523"/>
        <v>325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25"/>
        <v>22068</v>
      </c>
      <c r="E5705" s="4">
        <v>12</v>
      </c>
      <c r="F5705" s="129">
        <f t="shared" si="523"/>
        <v>486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25"/>
        <v>18125</v>
      </c>
      <c r="E5706" s="4">
        <v>24</v>
      </c>
      <c r="F5706" s="129">
        <f t="shared" si="523"/>
        <v>726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25"/>
        <v>1396</v>
      </c>
      <c r="F5707" s="129">
        <f t="shared" si="523"/>
        <v>55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25"/>
        <v>5619</v>
      </c>
      <c r="F5708" s="129">
        <f t="shared" si="523"/>
        <v>37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25"/>
        <v>8555</v>
      </c>
      <c r="E5709" s="4">
        <v>3</v>
      </c>
      <c r="F5709" s="129">
        <f t="shared" si="523"/>
        <v>118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25"/>
        <v>96240</v>
      </c>
      <c r="E5710" s="4">
        <v>37</v>
      </c>
      <c r="F5710" s="129">
        <f t="shared" si="523"/>
        <v>1114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 t="shared" ref="D5711:D5712" si="526">C5711+D5687</f>
        <v>8625</v>
      </c>
      <c r="E5711" s="4">
        <v>1</v>
      </c>
      <c r="F5711" s="129">
        <f t="shared" si="523"/>
        <v>113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 t="shared" si="526"/>
        <v>10357</v>
      </c>
      <c r="E5712" s="4">
        <v>4</v>
      </c>
      <c r="F5712" s="129">
        <f t="shared" si="52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27">C5713+D5689</f>
        <v>44127</v>
      </c>
      <c r="E5713" s="54">
        <v>26</v>
      </c>
      <c r="F5713" s="130">
        <f t="shared" si="523"/>
        <v>684</v>
      </c>
      <c r="J5713" s="88"/>
    </row>
    <row r="5714" spans="1:10" x14ac:dyDescent="0.25">
      <c r="A5714" s="222" t="s">
        <v>22</v>
      </c>
      <c r="B5714" s="136">
        <v>44131</v>
      </c>
      <c r="C5714" s="48">
        <v>4221</v>
      </c>
      <c r="D5714" s="144">
        <f t="shared" si="527"/>
        <v>535208</v>
      </c>
      <c r="E5714" s="48">
        <f>107+71</f>
        <v>178</v>
      </c>
      <c r="F5714" s="223">
        <f>E5714+F5690</f>
        <v>17116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27"/>
        <v>145103</v>
      </c>
      <c r="E5715" s="4">
        <f>30+17+1</f>
        <v>48</v>
      </c>
      <c r="F5715" s="129">
        <f t="shared" si="523"/>
        <v>4696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27"/>
        <v>666</v>
      </c>
      <c r="F5716" s="129">
        <f t="shared" si="52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27"/>
        <v>13394</v>
      </c>
      <c r="E5717" s="4">
        <f>4+3</f>
        <v>7</v>
      </c>
      <c r="F5717" s="129">
        <f t="shared" si="523"/>
        <v>407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27"/>
        <v>13299</v>
      </c>
      <c r="E5718" s="4">
        <f>13+11</f>
        <v>24</v>
      </c>
      <c r="F5718" s="129">
        <f t="shared" si="523"/>
        <v>180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27"/>
        <v>79085</v>
      </c>
      <c r="E5719" s="4">
        <f>19+19</f>
        <v>38</v>
      </c>
      <c r="F5719" s="129">
        <f t="shared" si="523"/>
        <v>1198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27"/>
        <v>2400</v>
      </c>
      <c r="F5720" s="129">
        <f t="shared" si="523"/>
        <v>42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27"/>
        <v>14687</v>
      </c>
      <c r="E5721" s="4">
        <f>4+2</f>
        <v>6</v>
      </c>
      <c r="F5721" s="129">
        <f t="shared" si="523"/>
        <v>259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27"/>
        <v>148</v>
      </c>
      <c r="F5722" s="129">
        <f t="shared" si="52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27"/>
        <v>17687</v>
      </c>
      <c r="E5723" s="4">
        <f>9+2</f>
        <v>11</v>
      </c>
      <c r="F5723" s="129">
        <f t="shared" si="523"/>
        <v>768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27"/>
        <v>2668</v>
      </c>
      <c r="E5724" s="4">
        <v>4</v>
      </c>
      <c r="F5724" s="129">
        <f t="shared" si="523"/>
        <v>30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27"/>
        <v>7296</v>
      </c>
      <c r="E5725" s="4">
        <f>5+3</f>
        <v>8</v>
      </c>
      <c r="F5725" s="129">
        <f t="shared" si="523"/>
        <v>239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27"/>
        <v>44372</v>
      </c>
      <c r="E5726" s="4">
        <f>8+4</f>
        <v>12</v>
      </c>
      <c r="F5726" s="129">
        <f t="shared" si="523"/>
        <v>686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27"/>
        <v>240</v>
      </c>
      <c r="F5727" s="129">
        <f t="shared" si="52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27"/>
        <v>20192</v>
      </c>
      <c r="E5728" s="4">
        <f>5+5</f>
        <v>10</v>
      </c>
      <c r="F5728" s="129">
        <f t="shared" si="523"/>
        <v>335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27"/>
        <v>22529</v>
      </c>
      <c r="E5729" s="4">
        <f>5+4</f>
        <v>9</v>
      </c>
      <c r="F5729" s="129">
        <f t="shared" si="523"/>
        <v>495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27"/>
        <v>18281</v>
      </c>
      <c r="E5730" s="4">
        <f>5+4</f>
        <v>9</v>
      </c>
      <c r="F5730" s="129">
        <f t="shared" si="523"/>
        <v>735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27"/>
        <v>1436</v>
      </c>
      <c r="E5731" s="4">
        <f>1</f>
        <v>1</v>
      </c>
      <c r="F5731" s="129">
        <f t="shared" ref="F5731:F5737" si="528">E5731+F5707</f>
        <v>56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27"/>
        <v>6065</v>
      </c>
      <c r="E5732" s="4">
        <f>1</f>
        <v>1</v>
      </c>
      <c r="F5732" s="129">
        <f t="shared" si="528"/>
        <v>38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27"/>
        <v>8646</v>
      </c>
      <c r="E5733" s="4">
        <f>1</f>
        <v>1</v>
      </c>
      <c r="F5733" s="129">
        <f t="shared" si="528"/>
        <v>119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27"/>
        <v>98475</v>
      </c>
      <c r="E5734" s="4">
        <f>19+10</f>
        <v>29</v>
      </c>
      <c r="F5734" s="129">
        <f t="shared" si="528"/>
        <v>1143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 t="shared" ref="D5735:D5736" si="529">C5735+D5711</f>
        <v>8769</v>
      </c>
      <c r="E5735" s="4">
        <f>1</f>
        <v>1</v>
      </c>
      <c r="F5735" s="129">
        <f t="shared" si="528"/>
        <v>114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 t="shared" si="529"/>
        <v>10588</v>
      </c>
      <c r="E5736" s="4">
        <v>5</v>
      </c>
      <c r="F5736" s="129">
        <f t="shared" si="528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30">C5737+D5713</f>
        <v>45567</v>
      </c>
      <c r="E5737" s="54">
        <f>12+11</f>
        <v>23</v>
      </c>
      <c r="F5737" s="130">
        <f t="shared" si="528"/>
        <v>707</v>
      </c>
    </row>
    <row r="5738" spans="1:6" x14ac:dyDescent="0.25">
      <c r="A5738" s="222" t="s">
        <v>22</v>
      </c>
      <c r="B5738" s="136">
        <v>44132</v>
      </c>
      <c r="C5738" s="4">
        <v>4238</v>
      </c>
      <c r="D5738" s="144">
        <f t="shared" si="530"/>
        <v>539446</v>
      </c>
      <c r="E5738" s="4">
        <f>61+61</f>
        <v>122</v>
      </c>
      <c r="F5738" s="223">
        <f>E5738+F5714</f>
        <v>17238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30"/>
        <v>145744</v>
      </c>
      <c r="E5739" s="4">
        <f>20+16</f>
        <v>36</v>
      </c>
      <c r="F5739" s="129">
        <f t="shared" ref="F5739:F5802" si="531">E5739+F5715</f>
        <v>4732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30"/>
        <v>720</v>
      </c>
      <c r="F5740" s="129">
        <f t="shared" si="531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30"/>
        <v>13580</v>
      </c>
      <c r="E5741" s="4">
        <f>1+5</f>
        <v>6</v>
      </c>
      <c r="F5741" s="129">
        <f t="shared" si="531"/>
        <v>413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30"/>
        <v>13594</v>
      </c>
      <c r="F5742" s="129">
        <f t="shared" si="531"/>
        <v>180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30"/>
        <v>80933</v>
      </c>
      <c r="E5743" s="4">
        <f>16+17</f>
        <v>33</v>
      </c>
      <c r="F5743" s="129">
        <f t="shared" si="531"/>
        <v>1231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30"/>
        <v>2469</v>
      </c>
      <c r="E5744" s="4">
        <f>2+2</f>
        <v>4</v>
      </c>
      <c r="F5744" s="129">
        <f t="shared" si="531"/>
        <v>46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30"/>
        <v>15030</v>
      </c>
      <c r="E5745" s="4">
        <f>6+5</f>
        <v>11</v>
      </c>
      <c r="F5745" s="129">
        <f t="shared" si="531"/>
        <v>270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30"/>
        <v>149</v>
      </c>
      <c r="F5746" s="129">
        <f t="shared" si="531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30"/>
        <v>17740</v>
      </c>
      <c r="E5747" s="4">
        <f>1+1</f>
        <v>2</v>
      </c>
      <c r="F5747" s="129">
        <f t="shared" si="531"/>
        <v>770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30"/>
        <v>2829</v>
      </c>
      <c r="F5748" s="129">
        <f t="shared" si="531"/>
        <v>30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30"/>
        <v>7386</v>
      </c>
      <c r="E5749" s="4">
        <f>4</f>
        <v>4</v>
      </c>
      <c r="F5749" s="129">
        <f t="shared" si="531"/>
        <v>243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30"/>
        <v>45047</v>
      </c>
      <c r="E5750" s="4">
        <f>7+5</f>
        <v>12</v>
      </c>
      <c r="F5750" s="129">
        <f t="shared" si="531"/>
        <v>698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30"/>
        <v>249</v>
      </c>
      <c r="F5751" s="129">
        <f t="shared" si="531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30"/>
        <v>20576</v>
      </c>
      <c r="E5752" s="4">
        <f>8+5</f>
        <v>13</v>
      </c>
      <c r="F5752" s="129">
        <f t="shared" si="531"/>
        <v>348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30"/>
        <v>22979</v>
      </c>
      <c r="E5753" s="4">
        <f>5+5</f>
        <v>10</v>
      </c>
      <c r="F5753" s="129">
        <f t="shared" si="531"/>
        <v>505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30"/>
        <v>18500</v>
      </c>
      <c r="E5754" s="4">
        <f>7+5</f>
        <v>12</v>
      </c>
      <c r="F5754" s="129">
        <f t="shared" si="531"/>
        <v>747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30"/>
        <v>1580</v>
      </c>
      <c r="E5755" s="4">
        <f>2+3</f>
        <v>5</v>
      </c>
      <c r="F5755" s="129">
        <f t="shared" si="531"/>
        <v>61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30"/>
        <v>6232</v>
      </c>
      <c r="F5756" s="129">
        <f t="shared" si="531"/>
        <v>38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30"/>
        <v>8885</v>
      </c>
      <c r="F5757" s="129">
        <f t="shared" si="531"/>
        <v>119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30"/>
        <v>100478</v>
      </c>
      <c r="E5758" s="4">
        <f>24+19</f>
        <v>43</v>
      </c>
      <c r="F5758" s="129">
        <f t="shared" si="531"/>
        <v>1186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 t="shared" ref="D5759:D5760" si="532">C5759+D5735</f>
        <v>9061</v>
      </c>
      <c r="E5759" s="4">
        <f>2+2</f>
        <v>4</v>
      </c>
      <c r="F5759" s="129">
        <f t="shared" si="531"/>
        <v>118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 t="shared" si="532"/>
        <v>10824</v>
      </c>
      <c r="E5760" s="4">
        <f>3+1</f>
        <v>4</v>
      </c>
      <c r="F5760" s="129">
        <f t="shared" si="531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0">
        <f t="shared" si="531"/>
        <v>731</v>
      </c>
    </row>
    <row r="5762" spans="1:6" x14ac:dyDescent="0.25">
      <c r="A5762" s="222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223">
        <f>E5762+F5738</f>
        <v>17376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2:D5808" si="533">C5763+D5739</f>
        <v>146256</v>
      </c>
      <c r="E5763" s="4">
        <f>15+23</f>
        <v>38</v>
      </c>
      <c r="F5763" s="129">
        <f t="shared" si="531"/>
        <v>4770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33"/>
        <v>736</v>
      </c>
      <c r="F5764" s="129">
        <f t="shared" si="531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33"/>
        <v>13710</v>
      </c>
      <c r="E5765" s="4">
        <f>2+2</f>
        <v>4</v>
      </c>
      <c r="F5765" s="129">
        <f t="shared" si="531"/>
        <v>417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33"/>
        <v>13878</v>
      </c>
      <c r="E5766" s="4">
        <f>2</f>
        <v>2</v>
      </c>
      <c r="F5766" s="129">
        <f t="shared" si="531"/>
        <v>182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33"/>
        <v>82390</v>
      </c>
      <c r="E5767" s="4">
        <f>19+16</f>
        <v>35</v>
      </c>
      <c r="F5767" s="129">
        <f t="shared" si="531"/>
        <v>1266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33"/>
        <v>2530</v>
      </c>
      <c r="F5768" s="129">
        <f t="shared" si="531"/>
        <v>46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33"/>
        <v>15390</v>
      </c>
      <c r="E5769" s="4">
        <f>2+2</f>
        <v>4</v>
      </c>
      <c r="F5769" s="129">
        <f t="shared" si="531"/>
        <v>274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33"/>
        <v>150</v>
      </c>
      <c r="F5770" s="129">
        <f t="shared" si="531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33"/>
        <v>17786</v>
      </c>
      <c r="E5771" s="4">
        <f>2+2</f>
        <v>4</v>
      </c>
      <c r="F5771" s="129">
        <f t="shared" si="531"/>
        <v>774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33"/>
        <v>3060</v>
      </c>
      <c r="E5772" s="4">
        <f>3</f>
        <v>3</v>
      </c>
      <c r="F5772" s="129">
        <f t="shared" si="531"/>
        <v>33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33"/>
        <v>7441</v>
      </c>
      <c r="F5773" s="129">
        <f t="shared" si="531"/>
        <v>243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33"/>
        <v>45860</v>
      </c>
      <c r="E5774" s="4">
        <f>13+3</f>
        <v>16</v>
      </c>
      <c r="F5774" s="129">
        <f t="shared" si="531"/>
        <v>714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33"/>
        <v>260</v>
      </c>
      <c r="F5775" s="129">
        <f t="shared" si="531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33"/>
        <v>21075</v>
      </c>
      <c r="E5776" s="4">
        <f>2</f>
        <v>2</v>
      </c>
      <c r="F5776" s="129">
        <f t="shared" si="531"/>
        <v>350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31"/>
        <v>518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31"/>
        <v>760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33"/>
        <v>1877</v>
      </c>
      <c r="E5779" s="4">
        <f>1</f>
        <v>1</v>
      </c>
      <c r="F5779" s="129">
        <f t="shared" si="531"/>
        <v>62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31"/>
        <v>39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33"/>
        <v>9135</v>
      </c>
      <c r="E5781" s="4">
        <f>6+5</f>
        <v>11</v>
      </c>
      <c r="F5781" s="129">
        <f t="shared" si="531"/>
        <v>130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31"/>
        <v>1252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31"/>
        <v>119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33"/>
        <v>11028</v>
      </c>
      <c r="E5784" s="4">
        <f>3+1</f>
        <v>4</v>
      </c>
      <c r="F5784" s="129">
        <f t="shared" si="531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0">
        <f t="shared" si="531"/>
        <v>746</v>
      </c>
    </row>
    <row r="5786" spans="1:6" x14ac:dyDescent="0.25">
      <c r="A5786" s="222" t="s">
        <v>22</v>
      </c>
      <c r="B5786" s="136">
        <v>44134</v>
      </c>
      <c r="C5786" s="4">
        <v>3830</v>
      </c>
      <c r="D5786" s="144">
        <f t="shared" si="533"/>
        <v>547011</v>
      </c>
      <c r="E5786" s="4">
        <f>70+47</f>
        <v>117</v>
      </c>
      <c r="F5786" s="223">
        <f>E5786+F5762</f>
        <v>17493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33"/>
        <v>146760</v>
      </c>
      <c r="E5787" s="4">
        <f>14+22</f>
        <v>36</v>
      </c>
      <c r="F5787" s="129">
        <f t="shared" si="531"/>
        <v>4806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33"/>
        <v>819</v>
      </c>
      <c r="F5788" s="129">
        <f t="shared" si="531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33"/>
        <v>13913</v>
      </c>
      <c r="E5789" s="4">
        <f>1</f>
        <v>1</v>
      </c>
      <c r="F5789" s="129">
        <f t="shared" si="531"/>
        <v>418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33"/>
        <v>14187</v>
      </c>
      <c r="E5790" s="4">
        <f>1+1</f>
        <v>2</v>
      </c>
      <c r="F5790" s="129">
        <f t="shared" si="531"/>
        <v>184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33"/>
        <v>83991</v>
      </c>
      <c r="E5791" s="4">
        <f>15+12</f>
        <v>27</v>
      </c>
      <c r="F5791" s="129">
        <f t="shared" si="531"/>
        <v>1293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33"/>
        <v>2539</v>
      </c>
      <c r="F5792" s="129">
        <f t="shared" si="531"/>
        <v>46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33"/>
        <v>15733</v>
      </c>
      <c r="E5793" s="4">
        <f>2+3</f>
        <v>5</v>
      </c>
      <c r="F5793" s="129">
        <f t="shared" si="531"/>
        <v>279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33"/>
        <v>149</v>
      </c>
      <c r="F5794" s="129">
        <f t="shared" si="531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33"/>
        <v>17823</v>
      </c>
      <c r="E5795" s="4">
        <f>1+3</f>
        <v>4</v>
      </c>
      <c r="F5795" s="129">
        <f t="shared" si="531"/>
        <v>778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33"/>
        <v>3189</v>
      </c>
      <c r="F5796" s="129">
        <f t="shared" si="531"/>
        <v>33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33"/>
        <v>7514</v>
      </c>
      <c r="E5797" s="4">
        <f>3+3</f>
        <v>6</v>
      </c>
      <c r="F5797" s="129">
        <f t="shared" si="531"/>
        <v>249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33"/>
        <v>46564</v>
      </c>
      <c r="E5798" s="4">
        <f>14+3</f>
        <v>17</v>
      </c>
      <c r="F5798" s="129">
        <f t="shared" si="531"/>
        <v>731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33"/>
        <v>270</v>
      </c>
      <c r="F5799" s="129">
        <f t="shared" si="531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33"/>
        <v>21771</v>
      </c>
      <c r="E5800" s="4">
        <f>12+8</f>
        <v>20</v>
      </c>
      <c r="F5800" s="129">
        <f t="shared" si="531"/>
        <v>370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33"/>
        <v>23738</v>
      </c>
      <c r="E5801" s="4">
        <f>4+1</f>
        <v>5</v>
      </c>
      <c r="F5801" s="129">
        <f t="shared" si="531"/>
        <v>523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33"/>
        <v>18600</v>
      </c>
      <c r="E5802" s="4">
        <f>8+6</f>
        <v>14</v>
      </c>
      <c r="F5802" s="129">
        <f t="shared" si="531"/>
        <v>774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33"/>
        <v>2256</v>
      </c>
      <c r="E5803" s="4">
        <f>7+10</f>
        <v>17</v>
      </c>
      <c r="F5803" s="129">
        <f t="shared" ref="F5803:F5809" si="534">E5803+F5779</f>
        <v>79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33"/>
        <v>6814</v>
      </c>
      <c r="F5804" s="129">
        <f t="shared" si="534"/>
        <v>39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33"/>
        <v>9349</v>
      </c>
      <c r="E5805" s="4">
        <f>1+1</f>
        <v>2</v>
      </c>
      <c r="F5805" s="129">
        <f t="shared" si="534"/>
        <v>132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33"/>
        <v>104630</v>
      </c>
      <c r="E5806" s="4">
        <f>29+20</f>
        <v>49</v>
      </c>
      <c r="F5806" s="129">
        <f t="shared" si="534"/>
        <v>1301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33"/>
        <v>9578</v>
      </c>
      <c r="E5807" s="4">
        <f>4+4</f>
        <v>8</v>
      </c>
      <c r="F5807" s="129">
        <f t="shared" si="534"/>
        <v>127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33"/>
        <v>11187</v>
      </c>
      <c r="E5808" s="4">
        <f>2</f>
        <v>2</v>
      </c>
      <c r="F5808" s="129">
        <f t="shared" si="534"/>
        <v>147</v>
      </c>
    </row>
    <row r="5809" spans="1:6" ht="15.75" thickBot="1" x14ac:dyDescent="0.3">
      <c r="A5809" s="141" t="s">
        <v>47</v>
      </c>
      <c r="B5809" s="136">
        <v>44134</v>
      </c>
      <c r="C5809" s="4">
        <v>1011</v>
      </c>
      <c r="D5809" s="29">
        <f>C5809+D5785</f>
        <v>48794</v>
      </c>
      <c r="E5809" s="4">
        <f>9+9</f>
        <v>18</v>
      </c>
      <c r="F5809" s="130">
        <f t="shared" si="534"/>
        <v>764</v>
      </c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0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0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0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0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8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0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0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0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0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0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0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7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0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0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0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0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0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0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0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0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0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0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0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0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0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0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6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0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6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0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6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0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88">
        <f t="shared" si="16"/>
        <v>1.119433498266718</v>
      </c>
      <c r="S202" s="155">
        <f t="shared" si="18"/>
        <v>2.6357021566327327E-2</v>
      </c>
      <c r="T202" s="156">
        <f t="shared" si="24"/>
        <v>2.4985701541891066E-2</v>
      </c>
      <c r="U202" s="146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3">
        <f t="shared" ref="M203:M225" si="25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189">
        <f t="shared" si="16"/>
        <v>1.1166220231560766</v>
      </c>
      <c r="S203" s="190">
        <f t="shared" si="18"/>
        <v>2.7190181184494677E-2</v>
      </c>
      <c r="T203" s="191">
        <f t="shared" si="24"/>
        <v>2.4900896226235127E-2</v>
      </c>
      <c r="U203" s="146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0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3">
        <f t="shared" si="25"/>
        <v>950485</v>
      </c>
      <c r="N204" s="192">
        <v>6401</v>
      </c>
      <c r="O204" s="192">
        <v>138272</v>
      </c>
      <c r="P204" s="193">
        <v>417376</v>
      </c>
      <c r="Q204" s="167">
        <f t="shared" ref="Q204:Q231" si="27">C204-P204-O204-N204</f>
        <v>78098</v>
      </c>
      <c r="R204" s="189">
        <f t="shared" si="16"/>
        <v>1.109377278693306</v>
      </c>
      <c r="S204" s="190">
        <f t="shared" si="18"/>
        <v>2.8678114204429995E-2</v>
      </c>
      <c r="T204" s="191">
        <f t="shared" si="24"/>
        <v>2.5163102827115671E-2</v>
      </c>
      <c r="U204" s="146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0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3">
        <f t="shared" si="25"/>
        <v>963224</v>
      </c>
      <c r="N205" s="194">
        <v>6521</v>
      </c>
      <c r="O205" s="194">
        <v>140870</v>
      </c>
      <c r="P205" s="194">
        <v>425218</v>
      </c>
      <c r="Q205" s="167">
        <f t="shared" si="27"/>
        <v>79565</v>
      </c>
      <c r="R205" s="189">
        <f t="shared" si="16"/>
        <v>1.0836491068121599</v>
      </c>
      <c r="S205" s="190">
        <f t="shared" si="18"/>
        <v>2.7785812871393506E-2</v>
      </c>
      <c r="T205" s="191">
        <f t="shared" si="24"/>
        <v>2.5525132621262221E-2</v>
      </c>
      <c r="U205" s="146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0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3">
        <f t="shared" si="25"/>
        <v>976244</v>
      </c>
      <c r="N206" s="194">
        <v>6647</v>
      </c>
      <c r="O206" s="194">
        <v>143597</v>
      </c>
      <c r="P206" s="194">
        <v>433450</v>
      </c>
      <c r="Q206" s="167">
        <f t="shared" si="27"/>
        <v>81105</v>
      </c>
      <c r="R206" s="189">
        <f t="shared" si="16"/>
        <v>1.0731923577636253</v>
      </c>
      <c r="S206" s="190">
        <f t="shared" si="18"/>
        <v>2.8101263796511955E-2</v>
      </c>
      <c r="T206" s="191">
        <f t="shared" si="24"/>
        <v>2.5870464073500056E-2</v>
      </c>
      <c r="U206" s="146"/>
    </row>
    <row r="207" spans="1:21" x14ac:dyDescent="0.25">
      <c r="A207" s="75">
        <v>44098</v>
      </c>
      <c r="B207" s="150">
        <v>13467</v>
      </c>
      <c r="C207" s="151">
        <f t="shared" si="17"/>
        <v>678266</v>
      </c>
      <c r="D207" s="4">
        <v>391</v>
      </c>
      <c r="E207" s="7">
        <f t="shared" si="21"/>
        <v>14763</v>
      </c>
      <c r="F207" s="200">
        <v>536589</v>
      </c>
      <c r="G207" s="4">
        <v>3527</v>
      </c>
      <c r="H207" s="4">
        <v>27253</v>
      </c>
      <c r="I207" s="4">
        <f t="shared" si="26"/>
        <v>1840991</v>
      </c>
      <c r="J207" s="211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194">
        <v>6740</v>
      </c>
      <c r="O207" s="194">
        <v>143045</v>
      </c>
      <c r="P207" s="194">
        <v>449054</v>
      </c>
      <c r="Q207" s="167">
        <f t="shared" si="27"/>
        <v>79427</v>
      </c>
      <c r="R207" s="189">
        <f t="shared" si="16"/>
        <v>1.0706155407001794</v>
      </c>
      <c r="S207" s="190">
        <f t="shared" si="18"/>
        <v>2.7790472288321225E-2</v>
      </c>
      <c r="T207" s="191">
        <f t="shared" si="24"/>
        <v>2.6108593924088243E-2</v>
      </c>
      <c r="U207" s="146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0">
        <v>546924</v>
      </c>
      <c r="G208" s="4">
        <v>3595</v>
      </c>
      <c r="H208" s="4">
        <v>25098</v>
      </c>
      <c r="I208" s="4">
        <f t="shared" si="26"/>
        <v>1866089</v>
      </c>
      <c r="J208" s="211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194">
        <v>6798</v>
      </c>
      <c r="O208" s="194">
        <v>145075</v>
      </c>
      <c r="P208" s="194">
        <v>458440</v>
      </c>
      <c r="Q208" s="167">
        <f t="shared" si="27"/>
        <v>80922</v>
      </c>
      <c r="R208" s="189">
        <f t="shared" si="16"/>
        <v>1.082354414875849</v>
      </c>
      <c r="S208" s="190">
        <f t="shared" si="18"/>
        <v>2.7845336390252971E-2</v>
      </c>
      <c r="T208" s="191">
        <f t="shared" si="24"/>
        <v>2.633639220006305E-2</v>
      </c>
      <c r="U208" s="146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0">
        <v>556489</v>
      </c>
      <c r="G209" s="4">
        <v>3633</v>
      </c>
      <c r="H209" s="4">
        <v>22101</v>
      </c>
      <c r="I209" s="4">
        <f t="shared" si="26"/>
        <v>1888190</v>
      </c>
      <c r="J209" s="211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194">
        <v>6835</v>
      </c>
      <c r="O209" s="194">
        <v>146416</v>
      </c>
      <c r="P209" s="194">
        <v>464913</v>
      </c>
      <c r="Q209" s="167">
        <f t="shared" si="27"/>
        <v>84320</v>
      </c>
      <c r="R209" s="189">
        <f t="shared" si="16"/>
        <v>1.0740901392159294</v>
      </c>
      <c r="S209" s="190">
        <f t="shared" si="18"/>
        <v>2.7849110407579741E-2</v>
      </c>
      <c r="T209" s="191">
        <f t="shared" si="24"/>
        <v>2.6386559187249158E-2</v>
      </c>
      <c r="U209" s="146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0">
        <v>565935</v>
      </c>
      <c r="G210" s="4">
        <v>3604</v>
      </c>
      <c r="H210" s="4">
        <v>15171</v>
      </c>
      <c r="I210" s="4">
        <f t="shared" si="26"/>
        <v>1903361</v>
      </c>
      <c r="J210" s="211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194">
        <v>6874</v>
      </c>
      <c r="O210" s="194">
        <v>147538</v>
      </c>
      <c r="P210" s="194">
        <v>469799</v>
      </c>
      <c r="Q210" s="167">
        <f t="shared" si="27"/>
        <v>87114</v>
      </c>
      <c r="R210" s="189">
        <f t="shared" si="16"/>
        <v>1.0589826729476384</v>
      </c>
      <c r="S210" s="190">
        <f t="shared" si="18"/>
        <v>2.779963283503803E-2</v>
      </c>
      <c r="T210" s="191">
        <f t="shared" si="24"/>
        <v>2.6171945761517535E-2</v>
      </c>
      <c r="U210" s="146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0">
        <v>576715</v>
      </c>
      <c r="G211" s="4">
        <v>3678</v>
      </c>
      <c r="H211" s="4">
        <v>21356</v>
      </c>
      <c r="I211" s="4">
        <f t="shared" si="26"/>
        <v>1924717</v>
      </c>
      <c r="J211" s="211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194">
        <v>6984</v>
      </c>
      <c r="O211" s="194">
        <v>149538</v>
      </c>
      <c r="P211" s="194">
        <v>478119</v>
      </c>
      <c r="Q211" s="167">
        <f t="shared" si="27"/>
        <v>88491</v>
      </c>
      <c r="R211" s="189">
        <f t="shared" si="16"/>
        <v>1.0675305156691106</v>
      </c>
      <c r="S211" s="190">
        <f t="shared" si="18"/>
        <v>2.8226301571709234E-2</v>
      </c>
      <c r="T211" s="191">
        <f>E211/C201</f>
        <v>2.6257296409400676E-2</v>
      </c>
      <c r="U211" s="146"/>
    </row>
    <row r="212" spans="1:21" x14ac:dyDescent="0.25">
      <c r="A212" s="75">
        <v>44103</v>
      </c>
      <c r="B212" s="152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0">
        <v>585857</v>
      </c>
      <c r="G212" s="4">
        <v>3768</v>
      </c>
      <c r="H212" s="4">
        <v>25072</v>
      </c>
      <c r="I212" s="4">
        <f t="shared" si="26"/>
        <v>1949789</v>
      </c>
      <c r="J212" s="211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194">
        <v>7083</v>
      </c>
      <c r="O212" s="194">
        <v>151787</v>
      </c>
      <c r="P212" s="194">
        <v>487971</v>
      </c>
      <c r="Q212" s="167">
        <f t="shared" si="27"/>
        <v>89768</v>
      </c>
      <c r="R212" s="189">
        <f t="shared" si="16"/>
        <v>1.0682231269156734</v>
      </c>
      <c r="S212" s="190">
        <f t="shared" si="18"/>
        <v>2.8070384552348882E-2</v>
      </c>
      <c r="T212" s="191">
        <f t="shared" ref="T212:T214" si="29"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0">
        <v>594645</v>
      </c>
      <c r="G213" s="4">
        <v>3792</v>
      </c>
      <c r="H213" s="4">
        <v>26524</v>
      </c>
      <c r="I213" s="4">
        <f t="shared" si="26"/>
        <v>1976313</v>
      </c>
      <c r="J213" s="211">
        <f t="shared" si="28"/>
        <v>0.54260292565223944</v>
      </c>
      <c r="K213" s="153">
        <v>2013</v>
      </c>
      <c r="L213" s="9">
        <v>1055774</v>
      </c>
      <c r="M213" s="183">
        <f t="shared" si="25"/>
        <v>1057787</v>
      </c>
      <c r="N213" s="194">
        <v>7162</v>
      </c>
      <c r="O213" s="194">
        <v>153949</v>
      </c>
      <c r="P213" s="194">
        <v>498519</v>
      </c>
      <c r="Q213" s="167">
        <f t="shared" si="27"/>
        <v>91371</v>
      </c>
      <c r="R213" s="189">
        <f t="shared" si="16"/>
        <v>1.0810798184730379</v>
      </c>
      <c r="S213" s="190">
        <f t="shared" si="18"/>
        <v>2.7198393343853107E-2</v>
      </c>
      <c r="T213" s="191">
        <f t="shared" si="29"/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49">
        <v>3352</v>
      </c>
      <c r="E214" s="7">
        <f t="shared" si="21"/>
        <v>20288</v>
      </c>
      <c r="F214" s="200">
        <v>603140</v>
      </c>
      <c r="G214" s="169">
        <v>3799</v>
      </c>
      <c r="H214" s="4">
        <v>26662</v>
      </c>
      <c r="I214" s="4">
        <f t="shared" si="26"/>
        <v>2002975</v>
      </c>
      <c r="J214" s="211">
        <f t="shared" si="28"/>
        <v>0.52512939764458777</v>
      </c>
      <c r="K214" s="153">
        <v>1482</v>
      </c>
      <c r="L214" s="9">
        <v>1068705</v>
      </c>
      <c r="M214" s="183">
        <f t="shared" si="25"/>
        <v>1070187</v>
      </c>
      <c r="N214" s="194">
        <v>7226</v>
      </c>
      <c r="O214" s="194">
        <v>155848</v>
      </c>
      <c r="P214" s="194">
        <v>508945</v>
      </c>
      <c r="Q214" s="167">
        <f t="shared" si="27"/>
        <v>92983</v>
      </c>
      <c r="R214" s="189">
        <f t="shared" si="16"/>
        <v>1.0848686177457396</v>
      </c>
      <c r="S214" s="190">
        <f t="shared" si="18"/>
        <v>2.6834023196349612E-2</v>
      </c>
      <c r="T214" s="191">
        <f t="shared" si="29"/>
        <v>3.1692720578242184E-2</v>
      </c>
      <c r="U214" s="146"/>
    </row>
    <row r="215" spans="1:21" x14ac:dyDescent="0.25">
      <c r="A215" s="75">
        <v>44106</v>
      </c>
      <c r="B215" s="150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0">
        <v>614515</v>
      </c>
      <c r="G215" s="169">
        <v>3828</v>
      </c>
      <c r="H215" s="4">
        <v>27537</v>
      </c>
      <c r="I215" s="4">
        <f t="shared" si="26"/>
        <v>2030512</v>
      </c>
      <c r="J215" s="211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194">
        <v>7323</v>
      </c>
      <c r="O215" s="194">
        <v>158001</v>
      </c>
      <c r="P215" s="194">
        <v>520163</v>
      </c>
      <c r="Q215" s="167">
        <f t="shared" si="27"/>
        <v>94202</v>
      </c>
      <c r="R215" s="189">
        <f t="shared" si="16"/>
        <v>1.0939213050811722</v>
      </c>
      <c r="S215" s="190">
        <f t="shared" si="18"/>
        <v>2.6477240501601221E-2</v>
      </c>
      <c r="T215" s="62">
        <f t="shared" ref="T215:T232" si="30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0">
        <v>626114</v>
      </c>
      <c r="G216" s="169">
        <v>3820</v>
      </c>
      <c r="H216" s="47">
        <v>20525</v>
      </c>
      <c r="I216" s="47">
        <f t="shared" si="26"/>
        <v>2051037</v>
      </c>
      <c r="J216" s="211">
        <f t="shared" si="28"/>
        <v>0.54221680876979295</v>
      </c>
      <c r="K216" s="66">
        <v>1499</v>
      </c>
      <c r="L216" s="66">
        <v>1095695</v>
      </c>
      <c r="M216" s="184">
        <f t="shared" si="25"/>
        <v>1097194</v>
      </c>
      <c r="N216" s="194">
        <v>7387</v>
      </c>
      <c r="O216" s="194">
        <v>159347</v>
      </c>
      <c r="P216" s="194">
        <v>527803</v>
      </c>
      <c r="Q216" s="167">
        <f t="shared" si="27"/>
        <v>96281</v>
      </c>
      <c r="R216" s="189">
        <f t="shared" si="16"/>
        <v>1.1108729024403154</v>
      </c>
      <c r="S216" s="190">
        <f t="shared" si="18"/>
        <v>2.6543999110567568E-2</v>
      </c>
      <c r="T216" s="62">
        <f t="shared" si="30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0">
        <v>636672</v>
      </c>
      <c r="G217" s="169">
        <v>3950</v>
      </c>
      <c r="H217" s="4">
        <v>13213</v>
      </c>
      <c r="I217" s="4">
        <f t="shared" si="26"/>
        <v>2064250</v>
      </c>
      <c r="J217" s="211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194">
        <v>7425</v>
      </c>
      <c r="O217" s="194">
        <v>160401</v>
      </c>
      <c r="P217" s="194">
        <v>533573</v>
      </c>
      <c r="Q217" s="167">
        <f t="shared" si="27"/>
        <v>97087</v>
      </c>
      <c r="R217" s="189">
        <f t="shared" si="16"/>
        <v>1.0953510778447038</v>
      </c>
      <c r="S217" s="190">
        <f t="shared" si="18"/>
        <v>2.8053977272727272E-2</v>
      </c>
      <c r="T217" s="62">
        <f t="shared" si="30"/>
        <v>3.7163584144197674E-2</v>
      </c>
      <c r="U217" s="146"/>
    </row>
    <row r="218" spans="1:21" x14ac:dyDescent="0.25">
      <c r="A218" s="75">
        <v>44109</v>
      </c>
      <c r="B218" s="161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0">
        <v>649017</v>
      </c>
      <c r="G218" s="169">
        <v>3978</v>
      </c>
      <c r="H218" s="4">
        <v>20263</v>
      </c>
      <c r="I218" s="4">
        <f t="shared" si="26"/>
        <v>2084513</v>
      </c>
      <c r="J218" s="211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194">
        <v>7503</v>
      </c>
      <c r="O218" s="194">
        <v>162682</v>
      </c>
      <c r="P218" s="194">
        <v>544916</v>
      </c>
      <c r="Q218" s="167">
        <f t="shared" si="27"/>
        <v>94627</v>
      </c>
      <c r="R218" s="189">
        <f t="shared" si="16"/>
        <v>1.1146378335743394</v>
      </c>
      <c r="S218" s="190">
        <f t="shared" si="18"/>
        <v>2.856814558407423E-2</v>
      </c>
      <c r="T218" s="62">
        <f t="shared" si="30"/>
        <v>3.7179260675722019E-2</v>
      </c>
      <c r="U218" s="146"/>
    </row>
    <row r="219" spans="1:21" x14ac:dyDescent="0.25">
      <c r="A219" s="75">
        <v>44110</v>
      </c>
      <c r="B219" s="161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0">
        <v>660272</v>
      </c>
      <c r="G219" s="169">
        <v>4007</v>
      </c>
      <c r="H219" s="4">
        <v>26481</v>
      </c>
      <c r="I219" s="4">
        <f t="shared" si="26"/>
        <v>2110994</v>
      </c>
      <c r="J219" s="211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194">
        <v>7581</v>
      </c>
      <c r="O219" s="194">
        <v>165737</v>
      </c>
      <c r="P219" s="194">
        <v>556132</v>
      </c>
      <c r="Q219" s="167">
        <f t="shared" si="27"/>
        <v>95018</v>
      </c>
      <c r="R219" s="189">
        <f t="shared" si="16"/>
        <v>1.1324700933350862</v>
      </c>
      <c r="S219" s="190">
        <f t="shared" si="18"/>
        <v>2.8144578990250892E-2</v>
      </c>
      <c r="T219" s="62">
        <f t="shared" si="30"/>
        <v>3.7051876702002676E-2</v>
      </c>
      <c r="U219" s="146"/>
    </row>
    <row r="220" spans="1:21" x14ac:dyDescent="0.25">
      <c r="A220" s="75">
        <v>44111</v>
      </c>
      <c r="B220" s="161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0">
        <v>670725</v>
      </c>
      <c r="G220" s="169">
        <v>3997</v>
      </c>
      <c r="H220" s="162">
        <v>29441</v>
      </c>
      <c r="I220" s="4">
        <f t="shared" si="26"/>
        <v>2140435</v>
      </c>
      <c r="J220" s="211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194">
        <v>7669</v>
      </c>
      <c r="O220" s="194">
        <v>168593</v>
      </c>
      <c r="P220" s="194">
        <v>568246</v>
      </c>
      <c r="Q220" s="167">
        <f t="shared" si="27"/>
        <v>96407</v>
      </c>
      <c r="R220" s="189">
        <f t="shared" ref="R220:R232" si="31">AVERAGE(B207:B220)/AVERAGE(B193:B206)</f>
        <v>1.1548135811050058</v>
      </c>
      <c r="S220" s="190">
        <f t="shared" si="18"/>
        <v>2.7013145000506878E-2</v>
      </c>
      <c r="T220" s="62">
        <f t="shared" si="30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0">
        <v>684844</v>
      </c>
      <c r="G221" s="169">
        <v>4043</v>
      </c>
      <c r="H221" s="4">
        <v>25841</v>
      </c>
      <c r="I221" s="4">
        <f t="shared" si="26"/>
        <v>2166276</v>
      </c>
      <c r="J221" s="211">
        <f t="shared" ref="J221:J226" si="32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194">
        <v>7761</v>
      </c>
      <c r="O221" s="194">
        <v>171322</v>
      </c>
      <c r="P221" s="194">
        <v>578517</v>
      </c>
      <c r="Q221" s="167">
        <f t="shared" si="27"/>
        <v>98769</v>
      </c>
      <c r="R221" s="189">
        <f t="shared" si="31"/>
        <v>1.1560025443310746</v>
      </c>
      <c r="S221" s="190">
        <f t="shared" si="18"/>
        <v>2.7167960219063939E-2</v>
      </c>
      <c r="T221" s="62">
        <f t="shared" si="30"/>
        <v>3.7007584028889054E-2</v>
      </c>
      <c r="U221" s="146"/>
    </row>
    <row r="222" spans="1:21" x14ac:dyDescent="0.25">
      <c r="A222" s="163">
        <v>44113</v>
      </c>
      <c r="B222" s="164">
        <v>15099</v>
      </c>
      <c r="C222" s="16">
        <f t="shared" si="17"/>
        <v>871468</v>
      </c>
      <c r="D222" s="165">
        <v>514</v>
      </c>
      <c r="E222" s="66">
        <f t="shared" si="21"/>
        <v>23224</v>
      </c>
      <c r="F222" s="200">
        <v>697141</v>
      </c>
      <c r="G222" s="169">
        <v>4092</v>
      </c>
      <c r="H222" s="47">
        <v>25174</v>
      </c>
      <c r="I222" s="47">
        <f t="shared" si="26"/>
        <v>2191450</v>
      </c>
      <c r="J222" s="211">
        <f t="shared" si="32"/>
        <v>0.59978549296893624</v>
      </c>
      <c r="K222" s="66">
        <v>1564</v>
      </c>
      <c r="L222" s="66">
        <v>1172099</v>
      </c>
      <c r="M222" s="184">
        <f t="shared" si="25"/>
        <v>1173663</v>
      </c>
      <c r="N222" s="194">
        <v>7817</v>
      </c>
      <c r="O222" s="194">
        <v>174267</v>
      </c>
      <c r="P222" s="194">
        <v>588788</v>
      </c>
      <c r="Q222" s="167">
        <f t="shared" si="27"/>
        <v>100596</v>
      </c>
      <c r="R222" s="189">
        <f t="shared" si="31"/>
        <v>1.158831093679676</v>
      </c>
      <c r="S222" s="190">
        <f t="shared" si="18"/>
        <v>2.7080865369979418E-2</v>
      </c>
      <c r="T222" s="62">
        <f t="shared" si="30"/>
        <v>3.7281638183178312E-2</v>
      </c>
      <c r="U222" s="146"/>
    </row>
    <row r="223" spans="1:21" x14ac:dyDescent="0.25">
      <c r="A223" s="166">
        <v>44114</v>
      </c>
      <c r="B223" s="167">
        <v>12414</v>
      </c>
      <c r="C223" s="16">
        <f t="shared" si="17"/>
        <v>883882</v>
      </c>
      <c r="D223" s="167">
        <v>357</v>
      </c>
      <c r="E223" s="168">
        <f t="shared" si="21"/>
        <v>23581</v>
      </c>
      <c r="F223" s="200">
        <v>709464</v>
      </c>
      <c r="G223" s="169">
        <v>4200</v>
      </c>
      <c r="H223" s="167">
        <v>19871</v>
      </c>
      <c r="I223" s="167">
        <f t="shared" si="26"/>
        <v>2211321</v>
      </c>
      <c r="J223" s="211">
        <f t="shared" si="32"/>
        <v>0.62472950530924465</v>
      </c>
      <c r="K223" s="168">
        <v>1566</v>
      </c>
      <c r="L223" s="168">
        <v>1182752</v>
      </c>
      <c r="M223" s="185">
        <f t="shared" si="25"/>
        <v>1184318</v>
      </c>
      <c r="N223" s="194">
        <v>7886</v>
      </c>
      <c r="O223" s="194">
        <v>176230</v>
      </c>
      <c r="P223" s="194">
        <v>594738</v>
      </c>
      <c r="Q223" s="167">
        <f t="shared" si="27"/>
        <v>105028</v>
      </c>
      <c r="R223" s="189">
        <f t="shared" si="31"/>
        <v>1.1627853310513259</v>
      </c>
      <c r="S223" s="190">
        <f t="shared" si="18"/>
        <v>2.7844626981443545E-2</v>
      </c>
      <c r="T223" s="62">
        <f t="shared" si="30"/>
        <v>3.7349235386820619E-2</v>
      </c>
      <c r="U223" s="146"/>
    </row>
    <row r="224" spans="1:21" x14ac:dyDescent="0.25">
      <c r="A224" s="166">
        <v>44115</v>
      </c>
      <c r="B224" s="167">
        <v>10324</v>
      </c>
      <c r="C224" s="16">
        <f t="shared" si="17"/>
        <v>894206</v>
      </c>
      <c r="D224" s="167">
        <v>287</v>
      </c>
      <c r="E224" s="168">
        <f t="shared" si="21"/>
        <v>23868</v>
      </c>
      <c r="F224" s="200">
        <v>721380</v>
      </c>
      <c r="G224" s="169">
        <v>4237</v>
      </c>
      <c r="H224" s="167">
        <v>14237</v>
      </c>
      <c r="I224" s="16">
        <v>2225558</v>
      </c>
      <c r="J224" s="211">
        <f t="shared" si="32"/>
        <v>0.72515277094893582</v>
      </c>
      <c r="K224" s="168">
        <v>1567</v>
      </c>
      <c r="L224" s="168">
        <v>1189378</v>
      </c>
      <c r="M224" s="185">
        <f t="shared" si="25"/>
        <v>1190945</v>
      </c>
      <c r="N224" s="194">
        <v>7932</v>
      </c>
      <c r="O224" s="194">
        <v>177557</v>
      </c>
      <c r="P224" s="194">
        <v>599352</v>
      </c>
      <c r="Q224" s="167">
        <f t="shared" si="27"/>
        <v>109365</v>
      </c>
      <c r="R224" s="189">
        <f t="shared" si="31"/>
        <v>1.1739094153593344</v>
      </c>
      <c r="S224" s="190">
        <f t="shared" si="18"/>
        <v>2.8444259455685496E-2</v>
      </c>
      <c r="T224" s="62">
        <f t="shared" si="30"/>
        <v>3.7285186058827115E-2</v>
      </c>
      <c r="U224" s="146"/>
    </row>
    <row r="225" spans="1:21" x14ac:dyDescent="0.25">
      <c r="A225" s="166">
        <v>44116</v>
      </c>
      <c r="B225" s="167">
        <v>9524</v>
      </c>
      <c r="C225" s="16">
        <f t="shared" ref="C225:C230" si="33">C224+B225</f>
        <v>903730</v>
      </c>
      <c r="D225" s="167">
        <v>318</v>
      </c>
      <c r="E225" s="168">
        <f t="shared" si="21"/>
        <v>24186</v>
      </c>
      <c r="F225" s="200">
        <v>732582</v>
      </c>
      <c r="G225" s="169">
        <v>4287</v>
      </c>
      <c r="H225" s="167">
        <v>13956</v>
      </c>
      <c r="I225" s="16">
        <f t="shared" ref="I225:I231" si="34">I224+H225</f>
        <v>2239514</v>
      </c>
      <c r="J225" s="211">
        <f t="shared" si="32"/>
        <v>0.68243049584408144</v>
      </c>
      <c r="K225" s="168">
        <v>1567</v>
      </c>
      <c r="L225" s="168">
        <v>1196534</v>
      </c>
      <c r="M225" s="186">
        <f t="shared" si="25"/>
        <v>1198101</v>
      </c>
      <c r="N225" s="194">
        <v>7963</v>
      </c>
      <c r="O225" s="194">
        <v>179298</v>
      </c>
      <c r="P225" s="194">
        <v>608522</v>
      </c>
      <c r="Q225" s="167">
        <f t="shared" si="27"/>
        <v>107947</v>
      </c>
      <c r="R225" s="189">
        <f t="shared" si="31"/>
        <v>1.1453014218129702</v>
      </c>
      <c r="S225" s="190">
        <f t="shared" si="18"/>
        <v>2.9170806058709055E-2</v>
      </c>
      <c r="T225" s="62">
        <f t="shared" si="30"/>
        <v>3.7085195055307323E-2</v>
      </c>
      <c r="U225" s="146"/>
    </row>
    <row r="226" spans="1:21" x14ac:dyDescent="0.25">
      <c r="A226" s="166">
        <v>44117</v>
      </c>
      <c r="B226" s="167">
        <v>13305</v>
      </c>
      <c r="C226" s="16">
        <f t="shared" si="33"/>
        <v>917035</v>
      </c>
      <c r="D226" s="167">
        <v>385</v>
      </c>
      <c r="E226" s="168">
        <f t="shared" si="21"/>
        <v>24571</v>
      </c>
      <c r="F226" s="200">
        <v>742235</v>
      </c>
      <c r="G226" s="169">
        <v>4294</v>
      </c>
      <c r="H226" s="169">
        <v>20544</v>
      </c>
      <c r="I226" s="16">
        <f t="shared" si="34"/>
        <v>2260058</v>
      </c>
      <c r="J226" s="211">
        <f t="shared" si="32"/>
        <v>0.6476343457943925</v>
      </c>
      <c r="K226" s="168">
        <v>1574</v>
      </c>
      <c r="L226" s="168">
        <v>1207475</v>
      </c>
      <c r="M226" s="187">
        <f t="shared" ref="M226:M229" si="35">K226+L226</f>
        <v>1209049</v>
      </c>
      <c r="N226" s="194">
        <v>8033</v>
      </c>
      <c r="O226" s="194">
        <v>182045</v>
      </c>
      <c r="P226" s="194">
        <v>619199</v>
      </c>
      <c r="Q226" s="167">
        <f t="shared" si="27"/>
        <v>107758</v>
      </c>
      <c r="R226" s="189">
        <f t="shared" si="31"/>
        <v>1.1328239290266275</v>
      </c>
      <c r="S226" s="190">
        <f t="shared" ref="S226:S234" si="36">G226/(C226-E226-F226)</f>
        <v>2.8583029907674282E-2</v>
      </c>
      <c r="T226" s="62">
        <f t="shared" si="30"/>
        <v>3.6960043562039052E-2</v>
      </c>
      <c r="U226" s="146"/>
    </row>
    <row r="227" spans="1:21" x14ac:dyDescent="0.25">
      <c r="A227" s="166">
        <v>44118</v>
      </c>
      <c r="B227" s="167">
        <v>14932</v>
      </c>
      <c r="C227" s="16">
        <f t="shared" si="33"/>
        <v>931967</v>
      </c>
      <c r="D227" s="167">
        <v>350</v>
      </c>
      <c r="E227" s="168">
        <f t="shared" si="21"/>
        <v>24921</v>
      </c>
      <c r="F227" s="200">
        <v>751146</v>
      </c>
      <c r="G227" s="169">
        <v>4316</v>
      </c>
      <c r="H227" s="167">
        <v>23519</v>
      </c>
      <c r="I227" s="16">
        <f t="shared" si="34"/>
        <v>2283577</v>
      </c>
      <c r="J227" s="211">
        <f t="shared" ref="J227:J232" si="37">B227/H227</f>
        <v>0.63489093924061402</v>
      </c>
      <c r="K227" s="168">
        <v>1574</v>
      </c>
      <c r="L227" s="168">
        <v>1219715</v>
      </c>
      <c r="M227" s="187">
        <f t="shared" si="35"/>
        <v>1221289</v>
      </c>
      <c r="N227" s="194">
        <v>8098</v>
      </c>
      <c r="O227" s="194">
        <v>184890</v>
      </c>
      <c r="P227" s="194">
        <v>629734</v>
      </c>
      <c r="Q227" s="167">
        <f t="shared" si="27"/>
        <v>109245</v>
      </c>
      <c r="R227" s="189">
        <f t="shared" si="31"/>
        <v>1.1171499299335139</v>
      </c>
      <c r="S227" s="190">
        <f t="shared" si="36"/>
        <v>2.7684413085311096E-2</v>
      </c>
      <c r="T227" s="62">
        <f t="shared" si="30"/>
        <v>3.6742222078063769E-2</v>
      </c>
      <c r="U227" s="146"/>
    </row>
    <row r="228" spans="1:21" x14ac:dyDescent="0.25">
      <c r="A228" s="166">
        <v>44119</v>
      </c>
      <c r="B228" s="170">
        <v>17096</v>
      </c>
      <c r="C228" s="16">
        <f t="shared" si="33"/>
        <v>949063</v>
      </c>
      <c r="D228" s="167">
        <v>421</v>
      </c>
      <c r="E228" s="168">
        <f t="shared" si="21"/>
        <v>25342</v>
      </c>
      <c r="F228" s="200">
        <v>764859</v>
      </c>
      <c r="G228" s="169">
        <v>4278</v>
      </c>
      <c r="H228" s="167">
        <v>27662</v>
      </c>
      <c r="I228" s="16">
        <f t="shared" si="34"/>
        <v>2311239</v>
      </c>
      <c r="J228" s="211">
        <f t="shared" si="37"/>
        <v>0.61803195719759962</v>
      </c>
      <c r="K228" s="168">
        <v>1575</v>
      </c>
      <c r="L228" s="168">
        <v>1234321</v>
      </c>
      <c r="M228" s="187">
        <f t="shared" si="35"/>
        <v>1235896</v>
      </c>
      <c r="N228" s="194">
        <v>8172</v>
      </c>
      <c r="O228" s="194">
        <v>187747</v>
      </c>
      <c r="P228" s="194">
        <v>642465</v>
      </c>
      <c r="Q228" s="167">
        <f t="shared" si="27"/>
        <v>110679</v>
      </c>
      <c r="R228" s="189">
        <f t="shared" si="31"/>
        <v>1.1272100386431421</v>
      </c>
      <c r="S228" s="190">
        <f t="shared" si="36"/>
        <v>2.692903274540167E-2</v>
      </c>
      <c r="T228" s="62">
        <f t="shared" si="30"/>
        <v>3.6661916714286751E-2</v>
      </c>
      <c r="U228" s="146"/>
    </row>
    <row r="229" spans="1:21" x14ac:dyDescent="0.25">
      <c r="A229" s="166">
        <v>44120</v>
      </c>
      <c r="B229" s="16">
        <v>16546</v>
      </c>
      <c r="C229" s="16">
        <f t="shared" si="33"/>
        <v>965609</v>
      </c>
      <c r="D229" s="167">
        <v>379</v>
      </c>
      <c r="E229" s="168">
        <f t="shared" si="21"/>
        <v>25721</v>
      </c>
      <c r="F229" s="200">
        <v>778501</v>
      </c>
      <c r="G229" s="169">
        <v>4346</v>
      </c>
      <c r="H229" s="167">
        <v>27412</v>
      </c>
      <c r="I229" s="16">
        <f t="shared" si="34"/>
        <v>2338651</v>
      </c>
      <c r="J229" s="211">
        <f t="shared" si="37"/>
        <v>0.60360426090763164</v>
      </c>
      <c r="K229" s="168">
        <v>1597</v>
      </c>
      <c r="L229" s="168">
        <v>1248101</v>
      </c>
      <c r="M229" s="187">
        <f t="shared" si="35"/>
        <v>1249698</v>
      </c>
      <c r="N229" s="194">
        <v>8249</v>
      </c>
      <c r="O229" s="194">
        <v>190484</v>
      </c>
      <c r="P229" s="194">
        <v>653179</v>
      </c>
      <c r="Q229" s="167">
        <f t="shared" si="27"/>
        <v>113697</v>
      </c>
      <c r="R229" s="189">
        <f t="shared" si="31"/>
        <v>1.1197908824255711</v>
      </c>
      <c r="S229" s="190">
        <f t="shared" si="36"/>
        <v>2.6929058722201912E-2</v>
      </c>
      <c r="T229" s="62">
        <f t="shared" si="30"/>
        <v>3.6614357052972023E-2</v>
      </c>
      <c r="U229" s="146"/>
    </row>
    <row r="230" spans="1:21" x14ac:dyDescent="0.25">
      <c r="A230" s="197">
        <v>44121</v>
      </c>
      <c r="B230" s="16">
        <v>13510</v>
      </c>
      <c r="C230" s="16">
        <f t="shared" si="33"/>
        <v>979119</v>
      </c>
      <c r="D230" s="198">
        <v>383</v>
      </c>
      <c r="E230" s="199">
        <f t="shared" si="21"/>
        <v>26104</v>
      </c>
      <c r="F230" s="200">
        <v>791174</v>
      </c>
      <c r="G230" s="169">
        <v>4386</v>
      </c>
      <c r="H230" s="198">
        <v>20955</v>
      </c>
      <c r="I230" s="16">
        <f t="shared" si="34"/>
        <v>2359606</v>
      </c>
      <c r="J230" s="211">
        <f t="shared" si="37"/>
        <v>0.64471486518730614</v>
      </c>
      <c r="K230" s="199">
        <v>1611</v>
      </c>
      <c r="L230" s="199">
        <v>1260920</v>
      </c>
      <c r="M230" s="202">
        <f>K230+L230</f>
        <v>1262531</v>
      </c>
      <c r="N230" s="203">
        <v>8311</v>
      </c>
      <c r="O230" s="203">
        <v>192192</v>
      </c>
      <c r="P230" s="203">
        <v>661955</v>
      </c>
      <c r="Q230" s="198">
        <f t="shared" si="27"/>
        <v>116661</v>
      </c>
      <c r="R230" s="204">
        <f t="shared" si="31"/>
        <v>1.1216137332920351</v>
      </c>
      <c r="S230" s="205">
        <f t="shared" si="36"/>
        <v>2.7100672882644075E-2</v>
      </c>
      <c r="T230" s="62">
        <f t="shared" si="30"/>
        <v>3.6697712016307595E-2</v>
      </c>
      <c r="U230" s="146"/>
    </row>
    <row r="231" spans="1:21" x14ac:dyDescent="0.25">
      <c r="A231" s="158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06">
        <v>803965</v>
      </c>
      <c r="G231" s="169">
        <v>4387</v>
      </c>
      <c r="H231" s="4">
        <v>13890</v>
      </c>
      <c r="I231" s="16">
        <f t="shared" si="34"/>
        <v>2373496</v>
      </c>
      <c r="J231" s="211">
        <f t="shared" si="37"/>
        <v>0.76033117350611956</v>
      </c>
      <c r="K231" s="7">
        <v>1617</v>
      </c>
      <c r="L231" s="7">
        <v>1269203</v>
      </c>
      <c r="M231" s="4">
        <f>K231+L231</f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1"/>
        <v>1.1440453324238127</v>
      </c>
      <c r="S231" s="72">
        <f t="shared" si="36"/>
        <v>2.751332706177485E-2</v>
      </c>
      <c r="T231" s="62">
        <f t="shared" si="30"/>
        <v>3.6321169578998024E-2</v>
      </c>
      <c r="U231" s="146"/>
    </row>
    <row r="232" spans="1:21" x14ac:dyDescent="0.25">
      <c r="A232" s="158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06">
        <v>816247</v>
      </c>
      <c r="G232" s="169">
        <v>4392</v>
      </c>
      <c r="H232" s="4">
        <v>28395</v>
      </c>
      <c r="I232" s="16">
        <v>2626406</v>
      </c>
      <c r="J232" s="211">
        <f t="shared" si="37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1"/>
        <v>1.1377100028894747</v>
      </c>
      <c r="S232" s="72">
        <f>G232/(C232-E232-F232)</f>
        <v>2.7501737643942668E-2</v>
      </c>
      <c r="T232" s="62">
        <f t="shared" si="30"/>
        <v>3.6268902497797337E-2</v>
      </c>
      <c r="U232" s="146"/>
    </row>
    <row r="233" spans="1:21" x14ac:dyDescent="0.25">
      <c r="A233" s="158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06">
        <v>829647</v>
      </c>
      <c r="G233" s="16">
        <v>4451</v>
      </c>
      <c r="H233" s="16">
        <v>37474</v>
      </c>
      <c r="I233" s="16">
        <v>2663880</v>
      </c>
      <c r="J233" s="211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6"/>
        <v>2.7432635653181471E-2</v>
      </c>
      <c r="T233" s="62">
        <f>E233/C213</f>
        <v>3.608517165756104E-2</v>
      </c>
      <c r="U233" s="146"/>
    </row>
    <row r="234" spans="1:21" x14ac:dyDescent="0.25">
      <c r="A234" s="158">
        <v>44125</v>
      </c>
      <c r="B234" s="209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0">
        <v>840520</v>
      </c>
      <c r="G234" s="209">
        <v>4573</v>
      </c>
      <c r="H234" s="209">
        <v>38340</v>
      </c>
      <c r="I234" s="209">
        <f>I233+H234</f>
        <v>2702220</v>
      </c>
      <c r="J234" s="211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 t="shared" ref="R234" si="38">AVERAGE(B221:B234)/AVERAGE(B207:B220)</f>
        <v>1.1152308705625837</v>
      </c>
      <c r="S234" s="72">
        <f t="shared" si="36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14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12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13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18">
        <f>LN(2)/(LN(D2)-LN(H2))*7</f>
        <v>91.787407722167586</v>
      </c>
      <c r="L2" s="26">
        <f ca="1">TODAY()+K2</f>
        <v>44226.787407722164</v>
      </c>
      <c r="M2" s="219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13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18">
        <f t="shared" ref="K3:K25" si="0">LN(2)/(LN(D3)-LN(H3))*7</f>
        <v>168.0621025463978</v>
      </c>
      <c r="L3" s="26">
        <f t="shared" ref="L3:L25" ca="1" si="1">TODAY()+K3</f>
        <v>44303.062102546399</v>
      </c>
      <c r="M3" s="219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13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16">
        <f t="shared" si="0"/>
        <v>19.058580802359188</v>
      </c>
      <c r="L4" s="26">
        <f t="shared" ca="1" si="1"/>
        <v>44154.058580802361</v>
      </c>
      <c r="M4" s="219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13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18">
        <f t="shared" si="0"/>
        <v>46.075403960929037</v>
      </c>
      <c r="L5" s="26">
        <f t="shared" ca="1" si="1"/>
        <v>44181.075403960931</v>
      </c>
      <c r="M5" s="219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13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16">
        <f t="shared" si="0"/>
        <v>22.510593524139111</v>
      </c>
      <c r="L6" s="26">
        <f t="shared" ca="1" si="1"/>
        <v>44157.510593524137</v>
      </c>
      <c r="M6" s="219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13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16">
        <f t="shared" si="0"/>
        <v>27.880526332780242</v>
      </c>
      <c r="L7" s="26">
        <f t="shared" ca="1" si="1"/>
        <v>44162.880526332781</v>
      </c>
      <c r="M7" s="219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13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18">
        <f t="shared" si="0"/>
        <v>34.843674397502184</v>
      </c>
      <c r="L8" s="26">
        <f t="shared" ca="1" si="1"/>
        <v>44169.843674397503</v>
      </c>
      <c r="M8" s="219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13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16">
        <f t="shared" si="0"/>
        <v>26.45299922492967</v>
      </c>
      <c r="L9" s="26">
        <f t="shared" ca="1" si="1"/>
        <v>44161.45299922493</v>
      </c>
      <c r="M9" s="219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13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18">
        <f t="shared" si="0"/>
        <v>76.79826871611958</v>
      </c>
      <c r="L10" s="26">
        <f t="shared" ca="1" si="1"/>
        <v>44211.79826871612</v>
      </c>
      <c r="M10" s="219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13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18">
        <f t="shared" si="0"/>
        <v>241.03429218278492</v>
      </c>
      <c r="L11" s="26">
        <f t="shared" ca="1" si="1"/>
        <v>44376.034292182783</v>
      </c>
      <c r="M11" s="219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13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17">
        <f t="shared" si="0"/>
        <v>12.957315197363085</v>
      </c>
      <c r="L12" s="26">
        <f t="shared" ca="1" si="1"/>
        <v>44147.95731519736</v>
      </c>
      <c r="M12" s="219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13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18">
        <f t="shared" si="0"/>
        <v>55.01037110536199</v>
      </c>
      <c r="L13" s="26">
        <f t="shared" ca="1" si="1"/>
        <v>44190.01037110536</v>
      </c>
      <c r="M13" s="219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13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18">
        <f t="shared" si="0"/>
        <v>36.809762783840547</v>
      </c>
      <c r="L14" s="26">
        <f t="shared" ca="1" si="1"/>
        <v>44171.809762783843</v>
      </c>
      <c r="M14" s="219">
        <f t="shared" si="2"/>
        <v>79938</v>
      </c>
    </row>
    <row r="15" spans="1:13" x14ac:dyDescent="0.25">
      <c r="A15" s="215" t="s">
        <v>30</v>
      </c>
      <c r="B15" s="5">
        <v>44125</v>
      </c>
      <c r="C15" s="5">
        <v>3</v>
      </c>
      <c r="D15" s="213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18">
        <f t="shared" si="0"/>
        <v>958.27392985047823</v>
      </c>
      <c r="L15" s="26">
        <f t="shared" ca="1" si="1"/>
        <v>45093.273929850475</v>
      </c>
      <c r="M15" s="219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13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16">
        <f t="shared" si="0"/>
        <v>17.705941272675613</v>
      </c>
      <c r="L16" s="26">
        <f t="shared" ca="1" si="1"/>
        <v>44152.705941272674</v>
      </c>
      <c r="M16" s="219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13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18">
        <f t="shared" si="0"/>
        <v>40.041909685970026</v>
      </c>
      <c r="L17" s="26">
        <f t="shared" ca="1" si="1"/>
        <v>44175.04190968597</v>
      </c>
      <c r="M17" s="219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13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18">
        <f t="shared" si="0"/>
        <v>87.960823329865264</v>
      </c>
      <c r="L18" s="26">
        <f t="shared" ca="1" si="1"/>
        <v>44222.960823329864</v>
      </c>
      <c r="M18" s="219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13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18">
        <f t="shared" si="0"/>
        <v>161.16231953907914</v>
      </c>
      <c r="L19" s="26">
        <f t="shared" ca="1" si="1"/>
        <v>44296.162319539078</v>
      </c>
      <c r="M19" s="219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13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17">
        <f t="shared" si="0"/>
        <v>9.8901430937794554</v>
      </c>
      <c r="L20" s="26">
        <f t="shared" ca="1" si="1"/>
        <v>44144.890143093777</v>
      </c>
      <c r="M20" s="219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13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18">
        <f t="shared" si="0"/>
        <v>38.095512288802261</v>
      </c>
      <c r="L21" s="26">
        <f t="shared" ca="1" si="1"/>
        <v>44173.095512288804</v>
      </c>
      <c r="M21" s="219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13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16">
        <f t="shared" si="0"/>
        <v>27.152070594594573</v>
      </c>
      <c r="L22" s="26">
        <f t="shared" ca="1" si="1"/>
        <v>44162.152070594595</v>
      </c>
      <c r="M22" s="219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13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16">
        <f t="shared" si="0"/>
        <v>25.060299806661174</v>
      </c>
      <c r="L23" s="26">
        <f t="shared" ca="1" si="1"/>
        <v>44160.060299806661</v>
      </c>
      <c r="M23" s="219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13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16">
        <f t="shared" si="0"/>
        <v>28.658118989687871</v>
      </c>
      <c r="L24" s="26">
        <f t="shared" ca="1" si="1"/>
        <v>44163.65811898969</v>
      </c>
      <c r="M24" s="219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13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16">
        <f t="shared" si="0"/>
        <v>22.531037944114569</v>
      </c>
      <c r="L25" s="26">
        <f t="shared" ca="1" si="1"/>
        <v>44157.531037944114</v>
      </c>
      <c r="M25" s="219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59" t="s">
        <v>32</v>
      </c>
      <c r="I162" s="159" t="s">
        <v>31</v>
      </c>
      <c r="J162" s="159" t="s">
        <v>151</v>
      </c>
      <c r="K162" s="159" t="s">
        <v>149</v>
      </c>
      <c r="L162" s="159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95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95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95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95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95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24" t="s">
        <v>146</v>
      </c>
      <c r="D1" s="224"/>
      <c r="E1" s="224"/>
      <c r="F1" s="224"/>
      <c r="G1" s="224"/>
      <c r="H1" s="224"/>
      <c r="K1" s="157">
        <v>547</v>
      </c>
      <c r="M1" s="225" t="s">
        <v>147</v>
      </c>
      <c r="N1" s="225"/>
      <c r="O1" s="225"/>
      <c r="P1" s="225"/>
      <c r="Q1" s="225"/>
      <c r="R1" s="225"/>
      <c r="S1" s="225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2020-10-31T21:58:28Z</dcterms:modified>
</cp:coreProperties>
</file>